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210" tabRatio="910" activeTab="0"/>
  </bookViews>
  <sheets>
    <sheet name="Приложение 1" sheetId="1" r:id="rId1"/>
    <sheet name="Приложение 2" sheetId="2" r:id="rId2"/>
    <sheet name="Приложение 3," sheetId="3" r:id="rId3"/>
    <sheet name="Приложение 4," sheetId="4" r:id="rId4"/>
    <sheet name="Приложение 5," sheetId="5" r:id="rId5"/>
    <sheet name="Приложение 6," sheetId="6" r:id="rId6"/>
  </sheets>
  <definedNames>
    <definedName name="_xlnm.Print_Titles" localSheetId="2">'Приложение 3,'!$13:$15</definedName>
  </definedNames>
  <calcPr fullCalcOnLoad="1" refMode="R1C1"/>
</workbook>
</file>

<file path=xl/sharedStrings.xml><?xml version="1.0" encoding="utf-8"?>
<sst xmlns="http://schemas.openxmlformats.org/spreadsheetml/2006/main" count="11416" uniqueCount="1033">
  <si>
    <t>Приложение 1</t>
  </si>
  <si>
    <t xml:space="preserve">                      к решению Представительного Собрания</t>
  </si>
  <si>
    <t>(тыс. рублей)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</si>
  <si>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</si>
  <si>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</si>
  <si>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</si>
  <si>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02 2 00 00000</t>
  </si>
  <si>
    <t>02 2 01 00000</t>
  </si>
  <si>
    <t>02 2 01 03590</t>
  </si>
  <si>
    <t>Основное мероприятие "Развитие, внедрение и популяризация культурно-массовых мероприятий, клубных формирований"</t>
  </si>
  <si>
    <t>02 3 00 00000</t>
  </si>
  <si>
    <t>02 3 01 00000</t>
  </si>
  <si>
    <t>02 3 01 01590</t>
  </si>
  <si>
    <t>02 4 00 00000</t>
  </si>
  <si>
    <t>02 4 01 0000</t>
  </si>
  <si>
    <t>02 4 01 01590</t>
  </si>
  <si>
    <t>Основное мероприятие "Социальная поддержка отдельных категорий граждан в форме единых денежных компенсаций"</t>
  </si>
  <si>
    <t>02 1 02 00000</t>
  </si>
  <si>
    <t>14 0 03 00000</t>
  </si>
  <si>
    <t>14 0 03 10220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</si>
  <si>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</si>
  <si>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</si>
  <si>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03 0 07 00000</t>
  </si>
  <si>
    <t xml:space="preserve">Дворцы и Дома культуры, другие учреждения культуры </t>
  </si>
  <si>
    <t>Социальная поддержка на оплату жилого помещения, отопления и освещения отдельным категориям граждан, работающим в муниципальных учреждениях и проживающим в сельской местности, в форме единых денежных компенсаций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</si>
  <si>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</si>
  <si>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</si>
  <si>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</si>
  <si>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</si>
  <si>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</si>
  <si>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Приложение 2</t>
  </si>
  <si>
    <t>к решению Представительного Собрания</t>
  </si>
  <si>
    <t>Код дохода</t>
  </si>
  <si>
    <t>Наименование доходов</t>
  </si>
  <si>
    <t xml:space="preserve">Сумма </t>
  </si>
  <si>
    <t>1</t>
  </si>
  <si>
    <t>2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</si>
  <si>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</si>
  <si>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</si>
  <si>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</si>
  <si>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</si>
  <si>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</si>
  <si>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10500000000000000</t>
  </si>
  <si>
    <t>Налоги на совокупный доход</t>
  </si>
  <si>
    <t>10503000010000110</t>
  </si>
  <si>
    <t>Единый сельскохозяйственный налог</t>
  </si>
  <si>
    <t>Иные межбюджетные трансферты</t>
  </si>
  <si>
    <t>ВСЕГО</t>
  </si>
  <si>
    <t xml:space="preserve">                                                                                                      (тыс. рублей)</t>
  </si>
  <si>
    <t>Наименование</t>
  </si>
  <si>
    <t>Общегосударственные вопросы</t>
  </si>
  <si>
    <t>01</t>
  </si>
  <si>
    <t>02</t>
  </si>
  <si>
    <t xml:space="preserve">Функционирование законодательных (представительных) органов государственной власти и представительных  органов муниципальных образований 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</si>
  <si>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</si>
  <si>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</si>
  <si>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</si>
  <si>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</si>
  <si>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</si>
  <si>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</si>
  <si>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</si>
  <si>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</si>
  <si>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</si>
  <si>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</si>
  <si>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</si>
  <si>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</si>
  <si>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</si>
  <si>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</si>
  <si>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</si>
  <si>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</si>
  <si>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</si>
  <si>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</si>
  <si>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</si>
  <si>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</si>
  <si>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</si>
  <si>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</si>
  <si>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</si>
  <si>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</si>
  <si>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</si>
  <si>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</si>
  <si>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</si>
  <si>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08</t>
  </si>
  <si>
    <t>Культура</t>
  </si>
  <si>
    <t>Здравоохранение</t>
  </si>
  <si>
    <t>Санитарно-эпидемиологическое благополучие</t>
  </si>
  <si>
    <t xml:space="preserve">Социальная политика </t>
  </si>
  <si>
    <t>10</t>
  </si>
  <si>
    <t>Пенсионное обеспечение</t>
  </si>
  <si>
    <t xml:space="preserve">Социальное обеспечение населения </t>
  </si>
  <si>
    <t>Охрана семьи и детства</t>
  </si>
  <si>
    <t>Физическая культура и спорт</t>
  </si>
  <si>
    <t>Массовый спорт</t>
  </si>
  <si>
    <t>Итого расходов</t>
  </si>
  <si>
    <t>(тыс.рублей)</t>
  </si>
  <si>
    <t>5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</si>
  <si>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</si>
  <si>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</si>
  <si>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</si>
  <si>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</si>
  <si>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Расходы на обеспечение функций  органов местного самоуправления</t>
  </si>
  <si>
    <t>240</t>
  </si>
  <si>
    <t>850</t>
  </si>
  <si>
    <t xml:space="preserve">       к решению Представительного Собрания</t>
  </si>
  <si>
    <t>Приложение 3</t>
  </si>
  <si>
    <t>МБУ "Физкультурно-оздоровительный комплекс"</t>
  </si>
  <si>
    <t>Реализация мероприятий по поддержке и развитию малого и среднего предпринимательства</t>
  </si>
  <si>
    <t>Реализация мероприятий по охране окружающей среды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</si>
  <si>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</si>
  <si>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>Подпрограмма "Развитие дошкольного образования и поддержка детей, посещающих образовательные учреждения, реализующие основную образовательную программу дошкольного образования"</t>
  </si>
  <si>
    <t>Детские дошкольные учреждения</t>
  </si>
  <si>
    <t xml:space="preserve">Субсидии бюджетным учреждениям </t>
  </si>
  <si>
    <t>610</t>
  </si>
  <si>
    <t>Подпрограмма "Развитие общего и дополнительного образования детей"</t>
  </si>
  <si>
    <t>Учреждения по внешкольной работе с детьми</t>
  </si>
  <si>
    <t>Школы-детские сады, школы начальные, неполные средние и средние</t>
  </si>
  <si>
    <t>7</t>
  </si>
  <si>
    <t>3</t>
  </si>
  <si>
    <t>Подпрограмма 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</si>
  <si>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Молодежная политика</t>
  </si>
  <si>
    <t>Условно утверждаемые расходы</t>
  </si>
  <si>
    <t>Всего расходов</t>
  </si>
  <si>
    <t>Подпрограмма «Одарённые дети»</t>
  </si>
  <si>
    <t>4</t>
  </si>
  <si>
    <t>6</t>
  </si>
  <si>
    <t>Всего</t>
  </si>
  <si>
    <t>Основное мероприятие "Обеспечение современных требований к условиям организации образовательного процесса в образовательных учреждениях"</t>
  </si>
  <si>
    <t>01 1 02 72020</t>
  </si>
  <si>
    <t>01 4 00 00000</t>
  </si>
  <si>
    <t>01 4 01 00000</t>
  </si>
  <si>
    <t>01 1 09 10010</t>
  </si>
  <si>
    <t>01 2 06 00000</t>
  </si>
  <si>
    <t>01 2 06 10010</t>
  </si>
  <si>
    <t>05 0 00 00000</t>
  </si>
  <si>
    <t>13 0 00 00000</t>
  </si>
  <si>
    <t>11 0 00 00000</t>
  </si>
  <si>
    <t>Основное мероприятие "Осуществление дорожной деятельности"</t>
  </si>
  <si>
    <t xml:space="preserve">Изменение остатков средств на счетах по учету средств бюджетов </t>
  </si>
  <si>
    <t>14 0 06 00000</t>
  </si>
  <si>
    <t>Основное мероприятие "Социально-педагогическая поддержка детей-сирот и детей, оставшихся без попечения родителей"</t>
  </si>
  <si>
    <t>14 0 00 00000</t>
  </si>
  <si>
    <t>Основное мероприятие "Экологическое информирование и образование населения"</t>
  </si>
  <si>
    <t>14 0 04 00000</t>
  </si>
  <si>
    <t>14 0 04 10220</t>
  </si>
  <si>
    <t>Проведение праздничных мероприятий</t>
  </si>
  <si>
    <t xml:space="preserve"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 </t>
  </si>
  <si>
    <t>340</t>
  </si>
  <si>
    <t>Стипендии</t>
  </si>
  <si>
    <t>Субсидии некоммерческим организациям (за исключением государственных (муниципальных) учреждений)</t>
  </si>
  <si>
    <t>Основное мероприятие "Развитие, внедрение и популяризация , культурно-массовых мероприятий, клубных формирований"</t>
  </si>
  <si>
    <t>10 0 00 00000</t>
  </si>
  <si>
    <t xml:space="preserve"> МБУ "Молодежный центр"</t>
  </si>
  <si>
    <t>01 2 00 00000</t>
  </si>
  <si>
    <t>Основное мероприятие "Организация предоставления дошкольного образования в муниципальных образовательных учреждениях"</t>
  </si>
  <si>
    <t>01 2 02 00000</t>
  </si>
  <si>
    <t>01 2 02 05590</t>
  </si>
  <si>
    <t>01 1 05 00000</t>
  </si>
  <si>
    <t>01 1 00 00000</t>
  </si>
  <si>
    <t>01 1 05 04590</t>
  </si>
  <si>
    <t>01 1 05 06590</t>
  </si>
  <si>
    <t>01 1 05 72010</t>
  </si>
  <si>
    <t>01 2 02 72010</t>
  </si>
  <si>
    <t>Обеспечение дошкольного образования и общеобразовательного процесса в муниципальных образовательных организациях области</t>
  </si>
  <si>
    <t>Основное мероприятие "Обеспечение предоставления мер социальной поддержки отдельным категориям обучающихся в муниципальных образовательных учреждениях "</t>
  </si>
  <si>
    <t>01 1 08 72020</t>
  </si>
  <si>
    <t>01 1 08 00000</t>
  </si>
  <si>
    <t>Основное мероприятие "Предоставление социальной поддержки отдельным категориям граждан в форме единых денежных компенсаций"</t>
  </si>
  <si>
    <t>01 1 09 00000</t>
  </si>
  <si>
    <t>01 1 09 72020</t>
  </si>
  <si>
    <t>01 1 02 00000</t>
  </si>
  <si>
    <t>16 0 00 00000</t>
  </si>
  <si>
    <t>02 2 03 00000</t>
  </si>
  <si>
    <t>Источники внутреннего финансирования бюджета</t>
  </si>
  <si>
    <t>Основное мероприятие "Развитие системы дополнительного образования в сфере культуры и искусства"</t>
  </si>
  <si>
    <t>02 5 01 00000</t>
  </si>
  <si>
    <t>02 0 00 00000</t>
  </si>
  <si>
    <t>02 5 00 00000</t>
  </si>
  <si>
    <t>02 5 01 04590</t>
  </si>
  <si>
    <t>Основное мероприятие "Сохранение, пополнение и популяризация музейных предметов и музейных фондов"</t>
  </si>
  <si>
    <t>02 1 00 00000</t>
  </si>
  <si>
    <t>02 1 01 00000</t>
  </si>
  <si>
    <t>02 1 01 02590</t>
  </si>
  <si>
    <t>Основное мероприятие "Организация библиотечно-информационного обслуживания населения"</t>
  </si>
  <si>
    <t>Подпрограмма "Развитие библиотечного дела"</t>
  </si>
  <si>
    <t>Библиотеки</t>
  </si>
  <si>
    <t>Подпрограмма "Развитие традиционной народной культуры"</t>
  </si>
  <si>
    <t xml:space="preserve">Дворцы и дома культуры, другие учреждения культуры </t>
  </si>
  <si>
    <t>Подпрограмма "Совершенствование культурно-досуговой деятельности"</t>
  </si>
  <si>
    <t>Социальная политика</t>
  </si>
  <si>
    <t>Доплаты к пенсиям   муниципальных служащих</t>
  </si>
  <si>
    <t>Социальное обеспечение населения</t>
  </si>
  <si>
    <t>Социальная поддержка на оплату жилого помещения, отопления и освещения отдельным категориям граждан, работающих в муниципальных учреждениях и проживающих в сельской местности, в форме единых денежных компенсаций</t>
  </si>
  <si>
    <t>Социальная поддержка на оплату жилого помещения, отопления и освещения отдельнм категориям граждан, работающих в муниципальных учреждениях и проживающих в сельской местности, в форме единых денежных компенсаций</t>
  </si>
  <si>
    <t>Подпрограмма "Социально-педагогическая поддержка детей-сирот и детей, оставшихся без попечения родителей"</t>
  </si>
  <si>
    <t>02 2 02 00000</t>
  </si>
  <si>
    <t>02 3 02 00000</t>
  </si>
  <si>
    <t>02 4 02 00000</t>
  </si>
  <si>
    <t>09 0 00 00000</t>
  </si>
  <si>
    <t>Транспорт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</si>
  <si>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</si>
  <si>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Основное мероприятие "Мероприятия с одаренными детьми"</t>
  </si>
  <si>
    <t>11200000000000000</t>
  </si>
  <si>
    <t xml:space="preserve">Платежи  за  пользование природными ресурсами </t>
  </si>
  <si>
    <t>11201000010000120</t>
  </si>
  <si>
    <t>Плата за негативное воздействие на окружающую среду</t>
  </si>
  <si>
    <t>1130000000000000</t>
  </si>
  <si>
    <t>Приложение 4</t>
  </si>
  <si>
    <t>Государственная пошлина</t>
  </si>
  <si>
    <t xml:space="preserve">Доходы  от использования имущества, находящегося в государственной и муниципальной собственности </t>
  </si>
  <si>
    <t>Коммунальное хозяйство</t>
  </si>
  <si>
    <t>11400000000000000</t>
  </si>
  <si>
    <t>Доходы от продажи материальных и нематериальных активов</t>
  </si>
  <si>
    <t>11600000000000000</t>
  </si>
  <si>
    <t>Штрафы, санкции, возмещение ущерба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</si>
  <si>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</si>
  <si>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 xml:space="preserve">Резервные фонды  </t>
  </si>
  <si>
    <t>Резервные фонды администрации</t>
  </si>
  <si>
    <t>Резервные средства</t>
  </si>
  <si>
    <t>870</t>
  </si>
  <si>
    <t>Обеспечение деятельности общественных организаций</t>
  </si>
  <si>
    <t>630</t>
  </si>
  <si>
    <t>Выплата стипендий студентам</t>
  </si>
  <si>
    <t>Социальные выплаты гражданам, кроме публичных нормативных социальных выплат</t>
  </si>
  <si>
    <t>320</t>
  </si>
  <si>
    <t>Содержание и обслуживание казны</t>
  </si>
  <si>
    <t>Оценка недвижимости, признание прав и регулирование отношений по муниципальной собственности</t>
  </si>
  <si>
    <t>Выполнение других обязательств государства</t>
  </si>
  <si>
    <t>Членский взнос в Ассоциацию "Совет муниципальных образований Вологодской области"</t>
  </si>
  <si>
    <t>Землеустройство и землепользование</t>
  </si>
  <si>
    <t>Мероприятия по землеустройству и землепользованию</t>
  </si>
  <si>
    <t>Расходы на выплаты персоналу казенных учреждений</t>
  </si>
  <si>
    <t>110</t>
  </si>
  <si>
    <t>Проведение мероприятий для детей и молодежи</t>
  </si>
  <si>
    <t>Другие вопросы в области охраны окружающей среды</t>
  </si>
  <si>
    <t>Подпрограмма "Организация мероприятий с молодежью"</t>
  </si>
  <si>
    <t>Основное мероприятие "Содействие развитию молодежной инициативы, молодежного общественного движения"</t>
  </si>
  <si>
    <t>Основное мероприятие "Содействие гражданско-патриотическому, правовому и духовно-нравственному воспитанию молодежи, профилактика негативных явлений в молодежной среде"</t>
  </si>
  <si>
    <t>Основное мероприятие "Поднятие престижа района путем участия в областных молодежных форумах и мероприятиях"</t>
  </si>
  <si>
    <t>Основное мероприятие "Выплата стипендий за обучение студентам образовательных учреждений высшего и среднего профессионального образования"</t>
  </si>
  <si>
    <t>05 1 05 10060</t>
  </si>
  <si>
    <t>05 1 05 00000</t>
  </si>
  <si>
    <t>Основное мероприятие "Оказание муниципальных услуг и выполнение работ муниципальным учреждением в сфере молодёжной политики"</t>
  </si>
  <si>
    <t>05 1 00 00000</t>
  </si>
  <si>
    <t>05 1 01 00000</t>
  </si>
  <si>
    <t>05 1 02 00000</t>
  </si>
  <si>
    <t>05 1 04 00000</t>
  </si>
  <si>
    <t>05 2 00 00000</t>
  </si>
  <si>
    <t>05 2 01 00000</t>
  </si>
  <si>
    <t>05 3 00 00000</t>
  </si>
  <si>
    <t>05 3 01 00000</t>
  </si>
  <si>
    <t>05 3 01 07590</t>
  </si>
  <si>
    <t>МБУ "Молодежный центр"</t>
  </si>
  <si>
    <t>05 1 01 20300</t>
  </si>
  <si>
    <t>05 1 02 20300</t>
  </si>
  <si>
    <t>05 1 04 20300</t>
  </si>
  <si>
    <t>Основное мероприятие "Оказание государственной поддержки отдельным категориям граждан на приобретение жилья в соответствии с федеральным и (или) областным законодательством"</t>
  </si>
  <si>
    <t>02 7 01 00000</t>
  </si>
  <si>
    <t>02 7 00 00000</t>
  </si>
  <si>
    <t>02 7 01 14590</t>
  </si>
  <si>
    <t>Основное мероприятие "Осуществление отдельных государственных полномочий по предупреждению и ликвидации болезней животных, защите населения от болезней, общих для человека и животных"</t>
  </si>
  <si>
    <t>Реализация мероприятий по профилактике преступлений и иных правонарушений</t>
  </si>
  <si>
    <t>Реализация мероприятий по противодействию незаконному обороту наркотиков, снижению масштабов злоупотребления алкогольной продукцией, профилактика алкоголизма и наркомании</t>
  </si>
  <si>
    <t>12 1 00 00000</t>
  </si>
  <si>
    <t>12 1 01 00000</t>
  </si>
  <si>
    <t>12 1 01 10100</t>
  </si>
  <si>
    <t>12 1 03 00000</t>
  </si>
  <si>
    <t>12 1 03 10100</t>
  </si>
  <si>
    <t>12 1 04 00000</t>
  </si>
  <si>
    <t>12 2 00 00000</t>
  </si>
  <si>
    <t>81 2 00 20140</t>
  </si>
  <si>
    <t>13 0 01 00000</t>
  </si>
  <si>
    <t>13 0 01 10200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</si>
  <si>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</si>
  <si>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13 0 02 00000</t>
  </si>
  <si>
    <t>13 0 02 S1250</t>
  </si>
  <si>
    <t>Основное мероприятие «Дополнительное пенсионное обеспечение»</t>
  </si>
  <si>
    <t>14 0 08 00000</t>
  </si>
  <si>
    <t>14 0 08 72110</t>
  </si>
  <si>
    <t>14 0 09 00000</t>
  </si>
  <si>
    <t>14 0 09 72230</t>
  </si>
  <si>
    <t>14 0 06 10220</t>
  </si>
  <si>
    <t>Судебная система</t>
  </si>
  <si>
    <t>Осуществление отдельных государственных полномочий</t>
  </si>
  <si>
    <t>73 0 00 00000</t>
  </si>
  <si>
    <t>73 0 00 51200</t>
  </si>
  <si>
    <t>Основное мероприятие "Организация занятий с детьми по основам безопасности поведения на улицах и дорогах"</t>
  </si>
  <si>
    <t xml:space="preserve">Проведение комплексных кадастровых работ  </t>
  </si>
  <si>
    <t>01 1 01 00000</t>
  </si>
  <si>
    <t>20700000000000000</t>
  </si>
  <si>
    <t>Прочие безвозмездные перечисления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</si>
  <si>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</si>
  <si>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Подпрограмма "Развитие образования в сфере культуры и искусства"</t>
  </si>
  <si>
    <t>Реализация мероприятий по организации и обеспечению отдыха и оздоровления детей</t>
  </si>
  <si>
    <t>01 2 02 06590</t>
  </si>
  <si>
    <t>Выполнение работ, связанных с осуществлением регулярных перевозок по регулируемым тарифам на муниципальных маршрутах</t>
  </si>
  <si>
    <t>81 2 00 00000</t>
  </si>
  <si>
    <t>81 2 00 20030</t>
  </si>
  <si>
    <t>81 6 00 00000</t>
  </si>
  <si>
    <t>81 6 00 20220</t>
  </si>
  <si>
    <t>Основное мероприятие "Организация и обеспечение отдыха и оздоровления детей, в том числе детей, находящихся в трудной жизненной ситуации"</t>
  </si>
  <si>
    <t>03 0 02 00000</t>
  </si>
  <si>
    <t>03 0 02 04590</t>
  </si>
  <si>
    <t>03 0 02 05590</t>
  </si>
  <si>
    <t>03 0 02 06590</t>
  </si>
  <si>
    <t>03 0 02 07590</t>
  </si>
  <si>
    <t>03 0 01 00000</t>
  </si>
  <si>
    <t>03 0 01 10010</t>
  </si>
  <si>
    <t>03 0 02 10170</t>
  </si>
  <si>
    <t>03 0 03 00000</t>
  </si>
  <si>
    <t>03 0 03 06590</t>
  </si>
  <si>
    <t>Подпрограмма "Физическая культура,  массовый спорт и подготовка спортивного резерва"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</si>
  <si>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</si>
  <si>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10 1 00 00000</t>
  </si>
  <si>
    <t>10 1 01 00000</t>
  </si>
  <si>
    <t>Подпрограмма "Обеспечение реализации муниципальной программы"</t>
  </si>
  <si>
    <t>Основное мероприятие "Оказание муниципальных услуг и выполнение работ муниципальными учреждениями в сфере физической культуры и спорта"</t>
  </si>
  <si>
    <t>11 2 00 00000</t>
  </si>
  <si>
    <t>11 2 01 00000</t>
  </si>
  <si>
    <t>Основное мероприятие "Организация и развитие перевозок пассажиров автомобильным транспортом по социально значимым маршрутам"</t>
  </si>
  <si>
    <t xml:space="preserve">Реализация мероприятий по повышению безопасности дорожного движения </t>
  </si>
  <si>
    <t>11 1 00 00000</t>
  </si>
  <si>
    <t>11 1 01 00000</t>
  </si>
  <si>
    <t>11 1 01 10090</t>
  </si>
  <si>
    <t>11 2 01 20530</t>
  </si>
  <si>
    <t>Подпрограмма "Пропаганда безопасности дорожного движения"</t>
  </si>
  <si>
    <t>11 3 00 00000</t>
  </si>
  <si>
    <t>11 3 01 00000</t>
  </si>
  <si>
    <t>11 3 02 00000</t>
  </si>
  <si>
    <t>11 3 02 10110</t>
  </si>
  <si>
    <t>11 3 03 00000</t>
  </si>
  <si>
    <t>Основное мероприятие "Обучение водителей школьных автобусов"</t>
  </si>
  <si>
    <t>10 2 00 00000</t>
  </si>
  <si>
    <t>10 2 01 00000</t>
  </si>
  <si>
    <t>10 2 01 09590</t>
  </si>
  <si>
    <t>Основное мероприятие "Взносы на капитальный ремонт общего имущества МКД"</t>
  </si>
  <si>
    <t>04 0 00 00000</t>
  </si>
  <si>
    <t>04 1 00 00000</t>
  </si>
  <si>
    <t>04 1 01 00000</t>
  </si>
  <si>
    <t>04 1 01 20010</t>
  </si>
  <si>
    <t>04 1 02 00000</t>
  </si>
  <si>
    <t>04 1 02 20490</t>
  </si>
  <si>
    <t>04 1 03 00000</t>
  </si>
  <si>
    <t>04 1 03 10480</t>
  </si>
  <si>
    <t>04 2 00 00000</t>
  </si>
  <si>
    <t>04 2 01 00000</t>
  </si>
  <si>
    <t>04 2 01 20010</t>
  </si>
  <si>
    <t>06 0 02 00000</t>
  </si>
  <si>
    <t>Реализация мероприятий в сфере архитектуры и градостроительства</t>
  </si>
  <si>
    <t>Дополнительное образование детей</t>
  </si>
  <si>
    <t>01 4 01 00190</t>
  </si>
  <si>
    <t>01 4 01 11590</t>
  </si>
  <si>
    <t>01 5 00 00000</t>
  </si>
  <si>
    <t>01 5 01 00000</t>
  </si>
  <si>
    <t>01 5 01 10140</t>
  </si>
  <si>
    <t>01 5 02 10140</t>
  </si>
  <si>
    <t>Функционирование высшего должностного лица субъекта Российской Федерации и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</si>
  <si>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</si>
  <si>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</si>
  <si>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</t>
  </si>
  <si>
    <t xml:space="preserve">МКУ "Центр по обслуживанию образовательных учреждений" </t>
  </si>
  <si>
    <t>Реализация мероприятий по поддержке одаренных детей</t>
  </si>
  <si>
    <t>Культура и кинематография</t>
  </si>
  <si>
    <t xml:space="preserve">Культура </t>
  </si>
  <si>
    <t>Подпрограмма "Развитие музейного дела"</t>
  </si>
  <si>
    <t>Музеи и постоянные выставки</t>
  </si>
  <si>
    <t>Налог, взимаемый с налогоплательщиков, выбравших в качестве объекта налогообложения доходы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</si>
  <si>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</si>
  <si>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</si>
  <si>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</si>
  <si>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06 0 00 00000</t>
  </si>
  <si>
    <t>01 0 00 00000</t>
  </si>
  <si>
    <t>Основное мероприятие "Приобретение программного обеспечения"</t>
  </si>
  <si>
    <t>15 0 00 00000</t>
  </si>
  <si>
    <t>70 0 00 00000</t>
  </si>
  <si>
    <t>70 4 00 00000</t>
  </si>
  <si>
    <t>03 0 00 00000</t>
  </si>
  <si>
    <t>12 0 00 00000</t>
  </si>
  <si>
    <t>Основное мероприятие "Предоставление молодым семьям социальных выплат на приобретение (строительство) жилья"</t>
  </si>
  <si>
    <t>08 0 00 00000</t>
  </si>
  <si>
    <t>Мероприятия в области энергосбережения</t>
  </si>
  <si>
    <t>КЦСР</t>
  </si>
  <si>
    <t>КВР</t>
  </si>
  <si>
    <t>РЗ</t>
  </si>
  <si>
    <t>ПР</t>
  </si>
  <si>
    <t>ГРБС</t>
  </si>
  <si>
    <t>11 3 03 06590</t>
  </si>
  <si>
    <t>Основное мероприятие "Формирование современных управленческих и организационно-экономических механизмов в системе дополнительного образования детей"</t>
  </si>
  <si>
    <t>01 1 06 00000</t>
  </si>
  <si>
    <t>Предоставление субсидии на проведение эксперимента по персонифицированному финансированию дополнительного образования</t>
  </si>
  <si>
    <t>01 1 06 10050</t>
  </si>
  <si>
    <t>01 1 06 10340</t>
  </si>
  <si>
    <t>12 1 02 00000</t>
  </si>
  <si>
    <t>12 1 02 10100</t>
  </si>
  <si>
    <t>Основное мероприятие "Проведение 
ежегодных смотров-конкурсов в сфере архитектуры"</t>
  </si>
  <si>
    <t>МБУ Вожегодского муниципального района "ЦОМУ"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</si>
  <si>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</si>
  <si>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</si>
  <si>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оказания платных услуг (работ) и компенсации затрат государства</t>
  </si>
  <si>
    <t>Благоустройство</t>
  </si>
  <si>
    <t>18 0 00 00000</t>
  </si>
  <si>
    <t>18 2 00 00000</t>
  </si>
  <si>
    <t>06 0 02 S2270</t>
  </si>
  <si>
    <t>06 0 02 S2271</t>
  </si>
  <si>
    <t>05 2 01 L4970</t>
  </si>
  <si>
    <t>11 1 01 S1350</t>
  </si>
  <si>
    <t>20210000000000150</t>
  </si>
  <si>
    <t>20230000000000150</t>
  </si>
  <si>
    <t>20240000000000150</t>
  </si>
  <si>
    <t>06 0 01 00000</t>
  </si>
  <si>
    <t>06 0 01 10350</t>
  </si>
  <si>
    <t>20220000000000150</t>
  </si>
  <si>
    <t>Субсидии бюджетам бюджетной системы Российской Федерации (межбюджетные субсидии)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</si>
  <si>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</si>
  <si>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10 1 02 00000</t>
  </si>
  <si>
    <t>Основное мероприятие "Обустройство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среде"</t>
  </si>
  <si>
    <t>Подпрограмма "Обеспечение  доступным  и  комфортным  жильем и коммунальными услугами граждан Российской Федерации"</t>
  </si>
  <si>
    <t>310</t>
  </si>
  <si>
    <t>Публичные нормативные социальные выплаты гражданам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</si>
  <si>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</si>
  <si>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</si>
  <si>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410</t>
  </si>
  <si>
    <t>Бюджетные инвестиции</t>
  </si>
  <si>
    <t>Мероприятия по реализации проекта "Народный бюджет"</t>
  </si>
  <si>
    <t>Мероприятия по реализации проекта "Народный бюджет" за счет добровольных пожертвований  физических лиц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</si>
  <si>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</si>
  <si>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10803010010000110
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</si>
  <si>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</si>
  <si>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03 0 03 07590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</si>
  <si>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средств, поступивших от государственной корпорации  - Фонда содействия реформированию жилищно-коммунального хозяйства</t>
  </si>
  <si>
    <t>Осуществление отдельных государственных полномочий в рамках единой субвенции</t>
  </si>
  <si>
    <t>02 4 А1 00000</t>
  </si>
  <si>
    <t>18 2 F2 00000</t>
  </si>
  <si>
    <t>18 2 F2 55552</t>
  </si>
  <si>
    <t>Основное мероприятие "Реализация регионального проекта "Цифровая образовательная среда"</t>
  </si>
  <si>
    <t>01 1 Е4 00000</t>
  </si>
  <si>
    <t>19 0 00 00000</t>
  </si>
  <si>
    <t>19 0 F3 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</si>
  <si>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</si>
  <si>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19 0 F3 67483</t>
  </si>
  <si>
    <t>19 0 F3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</si>
  <si>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</t>
  </si>
  <si>
    <t>19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</si>
  <si>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местного бюджета</t>
  </si>
  <si>
    <t>Реализация мероприятий в сфере водоснабжения и водоотведения</t>
  </si>
  <si>
    <t>06 0 02 10290</t>
  </si>
  <si>
    <t>Основное мероприятие "Реализация регионального проекта "Культурная среда""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</si>
  <si>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</si>
  <si>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Спорт высших достижений</t>
  </si>
  <si>
    <t>Подпрограмма "Система подготовки спортивного резерва"</t>
  </si>
  <si>
    <t>Основное мероприятие "Создание условий для реализации федерального стандарта"</t>
  </si>
  <si>
    <t>Основное мероприятие "Обеспечение участия обучающихся  по программам спортивной подготовки в спортивных соревнованиях"</t>
  </si>
  <si>
    <t>Основное мероприятие "Реализация мероприятий, направленных на развитие муниципальных учреждений культуры"</t>
  </si>
  <si>
    <t>10302231010000110</t>
  </si>
  <si>
    <t>10302241010000110</t>
  </si>
  <si>
    <t>10302251010000110</t>
  </si>
  <si>
    <t>10302261010000110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</si>
  <si>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</si>
  <si>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</si>
  <si>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</si>
  <si>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</si>
  <si>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Основное мероприятие "Организация лабораторного контроля качества воды"</t>
  </si>
  <si>
    <t>06 0 04 00000</t>
  </si>
  <si>
    <t>06 0 04 10290</t>
  </si>
  <si>
    <t xml:space="preserve">Реализация расходных обязательств в части обеспечения выплаты заработной платы работникам муниципальных учреждений   </t>
  </si>
  <si>
    <t>02 7 01 70030</t>
  </si>
  <si>
    <t>02 5 01 70030</t>
  </si>
  <si>
    <t>05 3 01 70030</t>
  </si>
  <si>
    <t>02 1 01 70030</t>
  </si>
  <si>
    <t>02 2 01 70030</t>
  </si>
  <si>
    <t>02 3 01 70030</t>
  </si>
  <si>
    <t>02 4 01 70030</t>
  </si>
  <si>
    <t>10 2 01 70030</t>
  </si>
  <si>
    <t>10 1 01 10150</t>
  </si>
  <si>
    <t>Реализация мероприятий по развитию физической культуры и спорта, укреплению здоровья населения</t>
  </si>
  <si>
    <t>01 2 02 70030</t>
  </si>
  <si>
    <t>01 1 01 S3260</t>
  </si>
  <si>
    <t>01 1 05 70030</t>
  </si>
  <si>
    <t>01 4 01 70030</t>
  </si>
  <si>
    <t>Реализация мероприятий по обеспечению жильем молодых семей</t>
  </si>
  <si>
    <t>Муниципальная программа "Поддержка социально ориентированных некоммерческих организаций в Вожегодском муниципальном районе на 2020-2025 годы"</t>
  </si>
  <si>
    <t>Основное мероприятие "Финансовая поддержка социально ориентированных некоммерчиских организаций"</t>
  </si>
  <si>
    <t>20 0 00 00000</t>
  </si>
  <si>
    <t>20 0 04 00000</t>
  </si>
  <si>
    <t>20 0 04 10050</t>
  </si>
  <si>
    <t>20 0 04 10270</t>
  </si>
  <si>
    <t>21 0 00 00000</t>
  </si>
  <si>
    <t>11 3 01 06590</t>
  </si>
  <si>
    <t>Субсидии бюджетам муниципальных районов на проведение комплексных кадастровых работ</t>
  </si>
  <si>
    <t>Мероприятия по содержанию, капитальному ремонту и ремонту,  строительству и реконструкции автомобильных дорог общего пользования местного значения и искусственных сооружений на них</t>
  </si>
  <si>
    <t>на реализацию муниципальных программ на 2014 год</t>
  </si>
  <si>
    <t>8</t>
  </si>
  <si>
    <t>Основное мероприятие "Капитальный ремонт здания МБУК "ЦТНК""</t>
  </si>
  <si>
    <t>02 3 03 00000</t>
  </si>
  <si>
    <t>Основное мероприятие "Развитие, внедрение и популяризация, культурно-массовых мероприятий, клубных формирований"</t>
  </si>
  <si>
    <t>02 4 01 00000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</si>
  <si>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</si>
  <si>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</si>
  <si>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11 2 01 S1370</t>
  </si>
  <si>
    <t>01 1 08 L3041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</si>
  <si>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</si>
  <si>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01 1 05 53031</t>
  </si>
  <si>
    <t xml:space="preserve">Осуществление дорожной деятельности в отношении автомобильных дорог общего пользования местного значения </t>
  </si>
  <si>
    <t>Реализация мероприятий по  благоустройству общественных территорий</t>
  </si>
  <si>
    <t>Строительство, реконструкция, капитальный ремонт и ремонт общеобразовательных организаций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</si>
  <si>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</si>
  <si>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Строительство, реконструкция и капитальный ремонт централизованных систем водоснабжения и водоотведения</t>
  </si>
  <si>
    <t>Осуществление отдельных  госудаственных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</si>
  <si>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</si>
  <si>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</si>
  <si>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мероприятий по гражданской обороне</t>
  </si>
  <si>
    <t>06 0 05 00000</t>
  </si>
  <si>
    <t>06 0 05 10290</t>
  </si>
  <si>
    <t>Основное мероприятие "Поддержка молодых семей, популяризация семейных отношений"</t>
  </si>
  <si>
    <t>05 1 03 20300</t>
  </si>
  <si>
    <t>05 1 03 00000</t>
  </si>
  <si>
    <t>2023 год</t>
  </si>
  <si>
    <t>04 2 02 00000</t>
  </si>
  <si>
    <t>04 2 02 20020</t>
  </si>
  <si>
    <t>03 0 Р1 72300</t>
  </si>
  <si>
    <t>Основное мероприятие "Реализация регионального проекта "Финансовая поддержка семей при рождении детей"</t>
  </si>
  <si>
    <t>03 0 Р1 00000</t>
  </si>
  <si>
    <t>Профессиональная подготовка, переподготовка и повышение квалификации</t>
  </si>
  <si>
    <t>22 0 00 00000</t>
  </si>
  <si>
    <t>Другие вопросы в области культуры, кинематографии</t>
  </si>
  <si>
    <t>22 0 02 00000</t>
  </si>
  <si>
    <t>22 0 02 14590</t>
  </si>
  <si>
    <t>Основное мероприятие "Популяризация объектов культурного наследия, организация мероприятий по функционированию объектов, находящихся в удовлетворительном состоянии"</t>
  </si>
  <si>
    <t>Основное мероприятие "Реализация регионального проекта "Спорт - норма жизни"</t>
  </si>
  <si>
    <t>10 1 P5 00000</t>
  </si>
  <si>
    <t>10 1 P5 52280</t>
  </si>
  <si>
    <t>Основное мероприятие "Реализация регионального проекта "Чистая вода"</t>
  </si>
  <si>
    <t>14 0 F5 00000</t>
  </si>
  <si>
    <t>14 0 F5 52430</t>
  </si>
  <si>
    <t>Строительство и реконструкция (модернизация) объектов питьевого водоснабжения в рамках регионального проекта "Чистая вода"</t>
  </si>
  <si>
    <t>81 6 00 L5110</t>
  </si>
  <si>
    <t>20 0 04 01590</t>
  </si>
  <si>
    <t>20225511050000150</t>
  </si>
  <si>
    <t>06 0 03 00000</t>
  </si>
  <si>
    <t>06 0 03 S3040</t>
  </si>
  <si>
    <t>Основное мероприятие "Разработка схем, проектов зон санитарной охраны источников водосанабжения и водоотведения, проведение предпроектных работ для разработки ПСД по ремонту, капитальному ремонту, реконструкции, модернизации, строительству систем водоснабжения и водоотведения"</t>
  </si>
  <si>
    <t>Основное мероприятие "Организация и проведение на территории муниципального образования области по месту жительства и (или) по месту отдыха организованных занятий граждан физической культурой"</t>
  </si>
  <si>
    <t>10 2 04 00000</t>
  </si>
  <si>
    <t>10 2 04 S1760</t>
  </si>
  <si>
    <t>Оказание других видов социальной помощи</t>
  </si>
  <si>
    <t>01 4 01 10400</t>
  </si>
  <si>
    <t>14 0 01 00000</t>
  </si>
  <si>
    <t>Основное мероприятие "Предотвращение загрязнения окружающей среды отходами производства и потребления"</t>
  </si>
  <si>
    <t>14 0 01 10220</t>
  </si>
  <si>
    <t>Мероприятия в области социальной политики</t>
  </si>
  <si>
    <t>82 4 00 00000</t>
  </si>
  <si>
    <t>82 4 00 20370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</si>
  <si>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</t>
  </si>
  <si>
    <t>01 4 01 55490</t>
  </si>
  <si>
    <t>2024 год</t>
  </si>
  <si>
    <t xml:space="preserve"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</t>
  </si>
  <si>
    <t>Основное мероприятие "Обеспечение доступным и комфортным жильем сельского населения"</t>
  </si>
  <si>
    <t>21 0 02 00000</t>
  </si>
  <si>
    <t xml:space="preserve"> Улучшение жилищных условий граждан, проживающих на сельских территориях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</si>
  <si>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</si>
  <si>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02 2 03 L5193</t>
  </si>
  <si>
    <t xml:space="preserve">Приобретение услуг распределительно-логистического центра на поставки продовольственных товаров для муниципальных общеобразовательных организаций </t>
  </si>
  <si>
    <t>23 0 00 00000</t>
  </si>
  <si>
    <t>23 0 01 00000</t>
  </si>
  <si>
    <t>Реализация мероприятий по оснащению объектов спортивной инфраструктуры спортивно-технологическим оборудованием</t>
  </si>
  <si>
    <t>23 0 01 10150</t>
  </si>
  <si>
    <t>24 0 00 00000</t>
  </si>
  <si>
    <t>Реализация мероприятий по предупреждению и ликвидации последствий чрезвычайных ситуаций и стихийных бедствий</t>
  </si>
  <si>
    <t>25 0 00 00000</t>
  </si>
  <si>
    <t>Основное мероприятие "Современный облик сельских территорий"</t>
  </si>
  <si>
    <t xml:space="preserve">Разработка и реализация инициативных проектов комплексного развития сельских территорий </t>
  </si>
  <si>
    <t>21 0 02 L5769</t>
  </si>
  <si>
    <t>21 0 03 00000</t>
  </si>
  <si>
    <t>21 0 03 L5764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</si>
  <si>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</si>
  <si>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Основное мероприятие "Укрепление материально-технической базы учреждения"</t>
  </si>
  <si>
    <t>Государственная поддержка лучших сельских учреждений культуры и лучших работников сельских учреждений культуры</t>
  </si>
  <si>
    <t>Основное мероприятие "Реализация регионального проекта "Творческие люди"</t>
  </si>
  <si>
    <t>02 2 А2 00000</t>
  </si>
  <si>
    <t>02 2 А2 55192</t>
  </si>
  <si>
    <t>25 1 00 00000</t>
  </si>
  <si>
    <t>25 2 00 00000</t>
  </si>
  <si>
    <t>25 3 00 00000</t>
  </si>
  <si>
    <t>25 1 01 00190</t>
  </si>
  <si>
    <t>25 1 01 00000</t>
  </si>
  <si>
    <t>25 1 01 70030</t>
  </si>
  <si>
    <t>25 1 01 72190</t>
  </si>
  <si>
    <t>25 1 01 72310</t>
  </si>
  <si>
    <t>25 2 01 00000</t>
  </si>
  <si>
    <t>25 3 01 00000</t>
  </si>
  <si>
    <t>25 3 01 13590</t>
  </si>
  <si>
    <t>25 3 01 70030</t>
  </si>
  <si>
    <t>25 3 01 72250</t>
  </si>
  <si>
    <t>25 2 01 00190</t>
  </si>
  <si>
    <t>25 2 01 70030</t>
  </si>
  <si>
    <t>01 1 05 S1460</t>
  </si>
  <si>
    <t>Основное мероприятие "Обеспечение подъезда к земельным участкам, предоставляемым отдельным категориям граждан"</t>
  </si>
  <si>
    <t>11 1 03 00000</t>
  </si>
  <si>
    <t>11 1 03 S1360</t>
  </si>
  <si>
    <t>Основное мероприятие "Субсидия по предотвращению банкротства муниципальных предприятий Вожегодского муниципального района"</t>
  </si>
  <si>
    <t>Субсидия по предотвращению банкротства муниципальных предприятий Вожегодского муниципального района</t>
  </si>
  <si>
    <t>06 0 06 00000</t>
  </si>
  <si>
    <t>06 0 06 10410</t>
  </si>
  <si>
    <t xml:space="preserve">».  </t>
  </si>
  <si>
    <t>10 1 02 S3241</t>
  </si>
  <si>
    <t>10 1 02 09590</t>
  </si>
  <si>
    <t xml:space="preserve">Строительство, реконструкция, капитальный ремонт и ремонт объектов физической культуры и спорта, оснащение объектов спортивной инфраструктуры  спортивно-технологическим оборудованием </t>
  </si>
  <si>
    <t>25 4 00 00000</t>
  </si>
  <si>
    <t>25 4 01 00000</t>
  </si>
  <si>
    <t>25 4 01 00190</t>
  </si>
  <si>
    <t>25 4 01 70030</t>
  </si>
  <si>
    <t>Обеспечение проведения выборов и референдумов</t>
  </si>
  <si>
    <t>880</t>
  </si>
  <si>
    <t>Специальные расходы</t>
  </si>
  <si>
    <t>94 0 00 00000</t>
  </si>
  <si>
    <t>94 0 00 20120</t>
  </si>
  <si>
    <t>Проведение выборов и референдумов</t>
  </si>
  <si>
    <t>Проведение выборов в представительные органы муниципальных образований</t>
  </si>
  <si>
    <t>Приложение 6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</si>
  <si>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</t>
  </si>
  <si>
    <t>01 1 08 S1490</t>
  </si>
  <si>
    <t>25 1 01 55490</t>
  </si>
  <si>
    <t xml:space="preserve">                                Вожегодского муниципального округа </t>
  </si>
  <si>
    <t>Вожегодского муниципального округа</t>
  </si>
  <si>
    <t xml:space="preserve">Вожегодского муниципального округа </t>
  </si>
  <si>
    <t xml:space="preserve">                Вожегодского муниципального округа </t>
  </si>
  <si>
    <t>20215001140000150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</si>
  <si>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</si>
  <si>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20215002140000150</t>
  </si>
  <si>
    <t>Дотации бюджетам муниципальных округов на поддержку мер по обеспечению сбалансированности бюджетов</t>
  </si>
  <si>
    <t>20215009140000150</t>
  </si>
  <si>
    <t>Дотации бюджетам муниципальных округов на частичную компенсацию дополнительных расходов на повышение оплаты труда работников бюджетной сферы и иные цели</t>
  </si>
  <si>
    <t>20220077140000150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</si>
  <si>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</si>
  <si>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20220299140000150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</si>
  <si>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</si>
  <si>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20220302140000150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</si>
  <si>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</si>
  <si>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20225228140000150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</si>
  <si>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</si>
  <si>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20225243140000150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</si>
  <si>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</si>
  <si>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20225304140000150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</si>
  <si>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</si>
  <si>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20225497140000150</t>
  </si>
  <si>
    <t>Субсидии бюджетам муниципальных округов на реализацию мероприятий по обеспечению жильем молодых семей</t>
  </si>
  <si>
    <t>20225519140000150</t>
  </si>
  <si>
    <t xml:space="preserve">Субсидии бюджетам муниципальных округов на поддержку отрасли культуры
</t>
  </si>
  <si>
    <t>20225555140000150</t>
  </si>
  <si>
    <t>Субсидии бюджетам муниципальных округов на реализацию программ формирования современной городской среды</t>
  </si>
  <si>
    <t>20227576140000150</t>
  </si>
  <si>
    <t xml:space="preserve"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</si>
  <si>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>20229999140000150</t>
  </si>
  <si>
    <t xml:space="preserve">Прочие субсидии бюджетам  муниципальных округов </t>
  </si>
  <si>
    <t>20230024140000150</t>
  </si>
  <si>
    <t>Субвенции бюджетам муниципальных округов на выполнение передаваемых полномочий субъектов Российской Федерации</t>
  </si>
  <si>
    <t>20235120140000150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</si>
  <si>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</si>
  <si>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20235176140000150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</si>
  <si>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</si>
  <si>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20235303140000150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</si>
  <si>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</si>
  <si>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20236900140000150</t>
  </si>
  <si>
    <t>Единая субвенция бюджетам муниципальных округов из бюджета субъекта Российской Федерации</t>
  </si>
  <si>
    <t>20704020140000150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</si>
  <si>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</si>
  <si>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2025 год</t>
  </si>
  <si>
    <t xml:space="preserve">Уменьшение прочих остатков денежных средств бюджетов муниципальных округов
</t>
  </si>
  <si>
    <t>Увеличение прочих остатков денежных средств бюджетов муниципальных округов</t>
  </si>
  <si>
    <t>Распределение бюджетных ассигнований по разделам, подразделам классификации расходов бюджетов  на 2023 год и плановый период 2024 и 2025 годов</t>
  </si>
  <si>
    <t>Сельское хозяйство и рыболовство</t>
  </si>
  <si>
    <t>25 5 00 00000</t>
  </si>
  <si>
    <t>Основное мероприятие "Обеспечение деятельности Управления финансов и экономики администрации Вожегодского муниципального округа"</t>
  </si>
  <si>
    <t>25 5 01 00000</t>
  </si>
  <si>
    <t>25 5 01 00190</t>
  </si>
  <si>
    <t>25 5 01 55490</t>
  </si>
  <si>
    <t>25 5 01 70030</t>
  </si>
  <si>
    <t>25 6 00 00000</t>
  </si>
  <si>
    <t>25 6 01 00000</t>
  </si>
  <si>
    <t>25 6 01 15590</t>
  </si>
  <si>
    <t>25 6 01 70030</t>
  </si>
  <si>
    <t>Подпрограмма «Обеспечение деятельности Вожегодского территориального отедла администрации Вожегодского муниципального округа»</t>
  </si>
  <si>
    <t>25 7 00 00000</t>
  </si>
  <si>
    <t>Основное мероприятие  «Обеспечение деятельности Вожегодского территориального отедла администрации Вожегодского муниципального округа»</t>
  </si>
  <si>
    <t>25 7 01 00000</t>
  </si>
  <si>
    <t>25 7 01 00190</t>
  </si>
  <si>
    <t>Осуществление полномочий по первичному воинскому учету органами местного самоуправления поселений</t>
  </si>
  <si>
    <t>25 7 01 51180</t>
  </si>
  <si>
    <t>25 7 01 70030</t>
  </si>
  <si>
    <t>Муниципальная программа "Совершенствование муниципального управления в Вожегодском муниципальном округе на 2023-2027 годы"</t>
  </si>
  <si>
    <t>Подпрограмма "Обеспечение деятельности администрации Вожегодского муниципального округа"</t>
  </si>
  <si>
    <t>Основное мероприятие "Обеспечение деятельности администрации Вожегодского муниципального округа"</t>
  </si>
  <si>
    <t>Подпрограмма "Обеспечение деятельности Представительного Собрания Вожегодского муниципального округа"</t>
  </si>
  <si>
    <t>Основное мероприятие "Обеспечение деятельности Представительного Собрания Вожегодского муниципального округа"</t>
  </si>
  <si>
    <t>Подпрограмма "Обеспечеие деятельности МКУ Вожегодского муниципального округа "МФЦ"</t>
  </si>
  <si>
    <t>Основное мероприятие "Обеспечеие деятельности МКУ Вожегодского муниципального округа "МФЦ"</t>
  </si>
  <si>
    <t>МКУ Вожегодского муниципального округа "МФЦ"</t>
  </si>
  <si>
    <t>Подпрограмма "Обеспечение деятельности контрольно-счетного управления Вожегодского муниципального округа"</t>
  </si>
  <si>
    <t>Основное мероприятие "Обеспечение деятельности контрольно-счетного управления Вожегодского муниципального округа"</t>
  </si>
  <si>
    <t>Подпрограмма "Обеспечение деятельности Управления финансов и экономики администрации Вожегодского муниципального округа"</t>
  </si>
  <si>
    <t>Подпрограмма «Обеспечение деятельности муниципального казенного учреждения Вожегодского муниципального округа «Единый межведомственный центр бюджетного (бухгалтерского) учета и отчетности»</t>
  </si>
  <si>
    <t>Основное мероприятие  «Обеспечение деятельности муниципального казенного учреждения Вожегодского муниципального округа «Единый межведомственный центр бюджетного (бухгалтерского) учета и отчетности»</t>
  </si>
  <si>
    <t>МКУ Вожегодского муниципального округа "Единый межведомственный центр бюджетного (бухгалтерского) учета и отчетности"</t>
  </si>
  <si>
    <t>Основное мероприятие "Модернизация содержания общего образования в условиях введения обновленных ФГОС "</t>
  </si>
  <si>
    <t>Основное мероприятие "Организация предоставления  общего образования и дополнительного образования в муниципальных образовательных учреждениях округа"</t>
  </si>
  <si>
    <t>01 3 00 00000</t>
  </si>
  <si>
    <t>01 3 01 00000</t>
  </si>
  <si>
    <t>01 3 01 04590</t>
  </si>
  <si>
    <t>01 3 02 00000</t>
  </si>
  <si>
    <t>01 3 02 04590</t>
  </si>
  <si>
    <t>Основное мероприятие "Обеспечение эффективной деятельности Управления образования администрации Вожегодского муниципального округа"</t>
  </si>
  <si>
    <t>01 5 01 04590</t>
  </si>
  <si>
    <t>Муниципальная программа "Развитие образования Вожегодского муниципального округа на 2023-2027 годы"</t>
  </si>
  <si>
    <t>Основное мероприятие "Реализация регионального проекта"Современная школа"</t>
  </si>
  <si>
    <t>01 1 Е1 00000</t>
  </si>
  <si>
    <t>Муниципальная программа "Социальная поддержка граждан Вожегодского муниципального округа на 2023-2027 годы"</t>
  </si>
  <si>
    <t xml:space="preserve">Основное мероприятие "Предоставление мер социальной поддержки отдельным категориям граждан за счет средств  бюджета округа" </t>
  </si>
  <si>
    <t>03 0 06 00000</t>
  </si>
  <si>
    <t>03 0 06 51760</t>
  </si>
  <si>
    <t>03 0 05 00000</t>
  </si>
  <si>
    <t>03 0 05 72310</t>
  </si>
  <si>
    <t>03 0 07 20360</t>
  </si>
  <si>
    <t>Источники  внутреннего финансирования дефицита бюджета округа на 2023 год и плановый период 2024 и 2025 годов</t>
  </si>
  <si>
    <t>Объем доходов бюджета округа, формируемый за счет налоговых и неналоговых доходов, а также безвозмездных поступлений на 2023 год и плановый период 2024 и 2025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</si>
  <si>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2023 год и плановый период 2024 и 2025 годов</t>
  </si>
  <si>
    <t>Распределение бюджетных ассигнований на реализацию муниципальных программ Вожегодского муниципального округа на 2023 год и плановый период 2024 и 2025 годов</t>
  </si>
  <si>
    <t xml:space="preserve">Муниципальная программа "Сохранение и развитие учреждений культуры и искусства, развитие туризма в  Вожегодском муниципальном округе на 2023-2027 годы" </t>
  </si>
  <si>
    <t>Основное мероприятие "Комплектование книжных фондов"</t>
  </si>
  <si>
    <t>02 2 04 00000</t>
  </si>
  <si>
    <t>02 4 03 00000</t>
  </si>
  <si>
    <t>02 4 03 L4670</t>
  </si>
  <si>
    <t>02 2 03 S1980</t>
  </si>
  <si>
    <t>02 2 04 S1960</t>
  </si>
  <si>
    <t>Обеспечение развития и укрепления материально-технической базы муниципальных учреждений отрасли культуры</t>
  </si>
  <si>
    <t>02 2 04 S1270</t>
  </si>
  <si>
    <t>Капитальный ремонт и ремонт объектов культуры</t>
  </si>
  <si>
    <t>02 3 03 S1270</t>
  </si>
  <si>
    <t>02 4 03 S1960</t>
  </si>
  <si>
    <t>02 4 03 S1270</t>
  </si>
  <si>
    <t>Муниципальная программа "Поддержка социально ориентированных некоммерческих организаций в Вожегодском муниципальном округе на 2023-2027 годы"</t>
  </si>
  <si>
    <t>Муниципальная программа "Молодежь Вожегодского округа" на 2023 - 2027 годы</t>
  </si>
  <si>
    <t>Муниципальная программа "Архитектура и градостроительство Вожегодского муниципального округа  на 2023 – 2027 годы"</t>
  </si>
  <si>
    <t>Основное мероприятие "Внесение изменений в генеральные планы в части установления границ населенных пунктов"</t>
  </si>
  <si>
    <t>09  01 00000</t>
  </si>
  <si>
    <t>09 0 01 10300</t>
  </si>
  <si>
    <t>09 0 02 00000</t>
  </si>
  <si>
    <t>09 0 02 10300</t>
  </si>
  <si>
    <t>Муниципальная программа "Развитие транспортной инфраструктуры на территории Вожегодского муниципального округа на 2023-2027 годы"</t>
  </si>
  <si>
    <t>Подпрограмма "Транспортное обслуживание населения Вожегодского муниципального округа"</t>
  </si>
  <si>
    <t>Основное мероприятие "Заседания районной комиссии по безопасности дорожного движения"</t>
  </si>
  <si>
    <t>11 3 04 00000</t>
  </si>
  <si>
    <t>11 3 04 10110</t>
  </si>
  <si>
    <t>Подпрограмма "Развитие сети автомобильных дорог общего пользования местного значения на территории Вожегодского муниципального округа"</t>
  </si>
  <si>
    <t>Муниципальная программа «Обеспечение законности, правопорядка и общественной безопасности в  Вожегодском муниципальном округе на 2023-2027 годы»</t>
  </si>
  <si>
    <t>Основное мероприятие "Изготовление информационно-методических материалов профилактической направленности"</t>
  </si>
  <si>
    <t>12 2 01 00000</t>
  </si>
  <si>
    <t>12 2 01 10120</t>
  </si>
  <si>
    <t>Подпрограмма «Профилактика   преступлений     и    иных правонарушений в Вожегодском муниципальном округе»</t>
  </si>
  <si>
    <t>Основное мероприятие "Проведение в муниципальных образовательных учреждениях мероприятий, направленных на формирование духовно-нравственных ценностей, патриотизма и толерантности несовершеннолетних"</t>
  </si>
  <si>
    <t>Основное мероприятие "Организация и проведение ежегодных творческих конкурсов работ в области профилактики преступлений и правонарушений"</t>
  </si>
  <si>
    <t>Основное мероприятие "Издание и распространение в муниципальных образовательных учреждениях памяток, листовок, направленных на профилактику правонарушений и преступлений"</t>
  </si>
  <si>
    <t>Основное мероприятие "Организация и проведение военно-патриотических сборов, мероприятий, направленных на культурное, спортивное, нравственное, патриотическое воспитание и правовое просвещение детей"</t>
  </si>
  <si>
    <t>12 1 04 07590</t>
  </si>
  <si>
    <t>12 1 05 00000</t>
  </si>
  <si>
    <t>Основное мероприятие "Обеспечение профилактики правонарушений, безопасности населения и территории Вожегодского округа"</t>
  </si>
  <si>
    <t>12 1 05 S1060</t>
  </si>
  <si>
    <t>Внедрение и (или) эксплуатация аппаратно-программного комплекса "Безопасный город"</t>
  </si>
  <si>
    <t>116</t>
  </si>
  <si>
    <t>118</t>
  </si>
  <si>
    <t>Муниципальная программа "Поддержка и развитие малого и среднего предпринимательства в Вожегодском муниципальном округе на 2023-2027 годы"</t>
  </si>
  <si>
    <t>Основное мероприятие "Создание благоприятных условий для устойчивого развития малого и среднего предпринимательства (МСП) в Вожегодском муниципальном округе"</t>
  </si>
  <si>
    <t xml:space="preserve">Предоставление субсидии на развитие мобильной торговли в малонаселенных и (или) труднодоступных населенных пунктах </t>
  </si>
  <si>
    <t>Муниципальная программа "Развитие физической культуры и спорта, укрепление здоровья населения Вожегодского муниципального округа на 2023-2027 годы"</t>
  </si>
  <si>
    <t>Муниципальная программа "Сохранение исторического наследия Вожегодского муниципального округа на 2023-2030 годы"</t>
  </si>
  <si>
    <t>Муниципальная программа "Укрепление общественного здоровья населения Вожегодского муниципального округа на 2023-2027 годы"</t>
  </si>
  <si>
    <t>Основное мероприятие "Создание муниципальной системы общественного здоровья и медицинской профилактики"</t>
  </si>
  <si>
    <t xml:space="preserve">Муниципальная программа  "Переселение  граждан  из  аварийного жилищного  фонда  в Вожегодском муниципальном  округе на  2023-2027 годы"  </t>
  </si>
  <si>
    <t xml:space="preserve">Подпрограмма «Благоустройство дворовых территорий Вожегодского муниципального округа» </t>
  </si>
  <si>
    <t>18 1 00 00000</t>
  </si>
  <si>
    <t>Основное мероприятие "Реализация регионального проекта "Формирование комфортной городской среды" в части благоустройства  дворовых территорий Вожегодского муниципального округа"</t>
  </si>
  <si>
    <t>18 1 F2 00000</t>
  </si>
  <si>
    <t xml:space="preserve">Подпрограмма «Благоустройство общественных  территорий Вожегодского муниципального округа» </t>
  </si>
  <si>
    <t>Основное мероприятие "Реализация регионального проекта "Формирование комфортной городской среды" в части благоустройства общественных территорий Вожегодского муниципального округа"</t>
  </si>
  <si>
    <t>Реализация мероприятий по благоустройству дворовых территорий многоквартирных домов</t>
  </si>
  <si>
    <t>18 1 01 00000</t>
  </si>
  <si>
    <t>Основное мероприятие "Мероприятия по благоустройству территорий"</t>
  </si>
  <si>
    <t>Реализация мероприятий по благоустройству территорий</t>
  </si>
  <si>
    <t>18 1 01 10430</t>
  </si>
  <si>
    <t>Муниципальная программа «Формирование современной городской среды на территории Вожегодского муниципального округа на 2023-2027 годы»</t>
  </si>
  <si>
    <t>18 2 01 00000</t>
  </si>
  <si>
    <t>18 2 01 10430</t>
  </si>
  <si>
    <t>Муниципальная программа "Комплексное развитие сельских территорий Вожегодского муниципального округа Вологодской области на 2023-2027 годы"</t>
  </si>
  <si>
    <t>Муниципальная программа "Развитие информационно-коммуникационных технологий и материально-технической базы Вожегодского муниципального округа на 2023-2027 годы"</t>
  </si>
  <si>
    <t>15 0 01 00000</t>
  </si>
  <si>
    <t>15 0 01 00190</t>
  </si>
  <si>
    <t>15 0 02 00000</t>
  </si>
  <si>
    <t>15 0 02 00190</t>
  </si>
  <si>
    <t>Основное мероприятие "Приобретение вычислительной техники, расходных материалов и комплектующих к вычисительной и оргтехнике"</t>
  </si>
  <si>
    <t>101</t>
  </si>
  <si>
    <t>508</t>
  </si>
  <si>
    <t>Основное мероприятие "Организация и участие в соревнованиях по БДД"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</si>
  <si>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объектах, создание систем оповещения и информирования населения о чрезвычайных ситуациях природного и техногенного характера на территории Вожегодского муниципального округа на 2023-2027 годы"</t>
  </si>
  <si>
    <t>24 1 00 00000</t>
  </si>
  <si>
    <t>24 2 01 00000</t>
  </si>
  <si>
    <t>24 2 01 10450</t>
  </si>
  <si>
    <t>Реализация мероприятий по обеспечению безопасности людей на водных объектах</t>
  </si>
  <si>
    <t>Подпрограмма "Повышение безопасности людей при нахождении на водных объектах, расположенных на территории Вожегодского муниципального округа"</t>
  </si>
  <si>
    <t xml:space="preserve">Основное мероприятие "Реализация мероприятий по обеспечению безопасности людей на водных объектах" </t>
  </si>
  <si>
    <t>24 2 00 00000</t>
  </si>
  <si>
    <t>24 1 01 00000</t>
  </si>
  <si>
    <t>Основное мероприятие "Оснащение системами оповещения населенных пунктов Вожегодского муниципального округа и  поддержание их в работоспособном состоянии"</t>
  </si>
  <si>
    <t>24 1 02 00000</t>
  </si>
  <si>
    <t>Основное мероприятие "Обеспечение первичных мер пожарной безопасности"</t>
  </si>
  <si>
    <t>Реализация мероприятий по обеспечению пожарной безопасности</t>
  </si>
  <si>
    <t>Основное мероприятие "Реализация мероприятий по гражданской обороне, предупреждению и ликвидации последствий чрезвычайных ситуаций и стихийных бедствий"</t>
  </si>
  <si>
    <t>24 1 03 20540</t>
  </si>
  <si>
    <t>24 1 03 00000</t>
  </si>
  <si>
    <t>24 1 02 10460</t>
  </si>
  <si>
    <t>24 1 01 10230</t>
  </si>
  <si>
    <t>24 1 02 S2270</t>
  </si>
  <si>
    <t>24 1 02 S2271</t>
  </si>
  <si>
    <t>24 1 04 00000</t>
  </si>
  <si>
    <t>24 1 04 94590</t>
  </si>
  <si>
    <t>Поисковые и аварийно-спасательные учреждения</t>
  </si>
  <si>
    <t>24 1 04 70030</t>
  </si>
  <si>
    <t>24 1 03 10230</t>
  </si>
  <si>
    <t>Подпрограмма "Защита населения и территорий от чрезвычайных ситуаций, обеспечение пожарной безопасности, создание систем оповещения и информирования населения о чрезвычайных ситуациях природного и техногенного характера на территории Вожегодского муниципального округа"</t>
  </si>
  <si>
    <t>Муниципальная программа "Управление муниципальным имуществом, состоящим в муниципальной  казне Вожегодского муниципального округа на 2023-2027 годы"</t>
  </si>
  <si>
    <t>Подпрограмма «Содержание  имущества казны Вожегодского муниципального округа»</t>
  </si>
  <si>
    <t>Основное мероприятие "Текущее содержание имущества казны Вожегодского муниципального округа"</t>
  </si>
  <si>
    <t>Основное мероприятие "Проведение текущих и капитальных ремонтов объектов, находящихся в муниципальной казне округа"</t>
  </si>
  <si>
    <t>Взносы на капитальный ремонт общего имущества жилых помещений, находящихся в собственности округа</t>
  </si>
  <si>
    <t>Подпрограмма "Оптимизация структуры муниципальной собственности в соответствии с Федеральным законом Российской Федерации от 6 октября 2003 года № 131-ФЗ "Об общих принципах организации местного самоуправления в Российской Федерации", приобретение имущества в собственность Вожегодского муниципального округа</t>
  </si>
  <si>
    <t>Основное мероприятие "Снос ветхих объектов недвижимого имущества, принадлежащего на праве собственности Вожегодскому муниципальному округу"</t>
  </si>
  <si>
    <t>Основное мероприятие "Обеспечение  эффективного учета и рационального использования муниципального имущества Вожегодского муниципального округа"</t>
  </si>
  <si>
    <t>02 4 03 S2270</t>
  </si>
  <si>
    <t>02 4 03 S2271</t>
  </si>
  <si>
    <t>Подпрограмма "Обеспечение создания условий для реализации муниципальной программы "Развитие образования Вожегодского муниципального округа на 2023-2027 годы"</t>
  </si>
  <si>
    <t>Муниципальная программа «Охрана окружающей среды Вожегодского муниципального округа на 2023 – 2027 годы»</t>
  </si>
  <si>
    <t>Основное мероприятие "Осуществление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на территории Вожегодского муниципального округа"</t>
  </si>
  <si>
    <t>Национальная оборона</t>
  </si>
  <si>
    <t>Мобилизационная и вневойсковая подготовка</t>
  </si>
  <si>
    <t>Муниципальная программа "Водоснабжение и водоотведение Вожегодского муниципального округа на 2023-2027 годы"</t>
  </si>
  <si>
    <t>Основное мероприятие "Субсидия в целях возмещения недополученных доходов и финансовое обеспечение (возмещение) затрат в связи с оказанием услуг по водоснабжению на территории Вожегодского муниципального округа"</t>
  </si>
  <si>
    <t xml:space="preserve">Субсидия в целях возмещения недополученных доходов и финансовое обеспечение (возмещение) затрат в связи с оказанием услуг по водоснабжению </t>
  </si>
  <si>
    <t>Основное мероприятие "Содержание, ремонт артезианских скважин и строительство, ремонт и содержание источников нецентрализованного водоснабжения"</t>
  </si>
  <si>
    <t>Основное мероприятие "Повышение эксплуатационной надежности систем водоснабжения и водоотведения путем их приведения к безопасному техническому состоянию"</t>
  </si>
  <si>
    <t>06 0 03 S2270</t>
  </si>
  <si>
    <t>06 0 03 S2271</t>
  </si>
  <si>
    <t>Основное мероприятие "Особо охраняемые природные территории местного значения Вожегодского муниципального округа"</t>
  </si>
  <si>
    <t>Основное мероприятие "Благоустройство и озеленение объектов, находящихся в собственности Вожегодского муниципального округа"</t>
  </si>
  <si>
    <t>Основное мероприятие "Предотвращение распространения сорного растения борщевик Сосновского"</t>
  </si>
  <si>
    <t>14 0 07 00000</t>
  </si>
  <si>
    <t>14 0 07 S1400</t>
  </si>
  <si>
    <t xml:space="preserve">Основное мероприятие "Выполнение работ по улучшению качества воды в п. Вожега"
</t>
  </si>
  <si>
    <t>14 0 10 00000</t>
  </si>
  <si>
    <t>Реализация мероприятий по выполнению работ по улучшению качества воды</t>
  </si>
  <si>
    <t>14 0 10 10470</t>
  </si>
  <si>
    <t>Муниципальная программа «Благоустройство территории Вожегодского муниципального округа  на 2023 – 2027 годы»</t>
  </si>
  <si>
    <t>Основное мероприятие "Содержание территорий общего пользования"</t>
  </si>
  <si>
    <t>16 0 01 00000</t>
  </si>
  <si>
    <t>16 0 01 10430</t>
  </si>
  <si>
    <t>Основное мероприятие "Размещение информации на территории муниципального образования, в том числе установки указателей с наименованиями улиц и номерами домов, вывесокя"</t>
  </si>
  <si>
    <t>16 0 02 00000</t>
  </si>
  <si>
    <t>16 0 02 10430</t>
  </si>
  <si>
    <t>Основное мероприятие "Организация стоков ливневых вод"</t>
  </si>
  <si>
    <t>16 0 03 00000</t>
  </si>
  <si>
    <t>16 0 03 10430</t>
  </si>
  <si>
    <t>Основное мероприятие "Праздничное оформление территории муниципального образования"</t>
  </si>
  <si>
    <t>16 0 04 10430</t>
  </si>
  <si>
    <t>Основное мероприятие "Содержание мест захоронения"</t>
  </si>
  <si>
    <t>Реализация мероприятий по содержанию мест захоронения</t>
  </si>
  <si>
    <t>16 0 05 10480</t>
  </si>
  <si>
    <t>Основное мероприятие "Содержание контейнерных площадок"</t>
  </si>
  <si>
    <t>16 0 06 10430</t>
  </si>
  <si>
    <t>Основное мероприятие "Определение координат земельных участков"</t>
  </si>
  <si>
    <t>16 0 07 10430</t>
  </si>
  <si>
    <t>16 1 08 00000</t>
  </si>
  <si>
    <t>Основное мероприятие "Содействие занятости населения"</t>
  </si>
  <si>
    <t>Реализация мероприятий по содействию занятости населения</t>
  </si>
  <si>
    <t>16 0 08 10490</t>
  </si>
  <si>
    <t>16 1 09 00000</t>
  </si>
  <si>
    <t>Основное мероприятие "Реализация проекта "Народный бюджет""</t>
  </si>
  <si>
    <t>16 0 09 S2270</t>
  </si>
  <si>
    <t>16 0 09 S2271</t>
  </si>
  <si>
    <t>16 0 07 00000</t>
  </si>
  <si>
    <t>16 0 06 00000</t>
  </si>
  <si>
    <t>16 0 04 00000</t>
  </si>
  <si>
    <t>16 0 05 00000</t>
  </si>
  <si>
    <t>Другие вопросы в области жилищно-коммунального хозяйства</t>
  </si>
  <si>
    <t xml:space="preserve">Прочие безвозмездные поступления в бюджеты муниципальных округов
</t>
  </si>
  <si>
    <t xml:space="preserve">
20704050140000150
</t>
  </si>
  <si>
    <t>525</t>
  </si>
  <si>
    <t>25 1 01 51180</t>
  </si>
  <si>
    <t>Муниципальная программа "Энергосбережение и повышение энергетической эффективности на территории Вожегодского муниципального округа Вологодской области на 2023-2027 годы"</t>
  </si>
  <si>
    <t>08 0 01 00000</t>
  </si>
  <si>
    <t xml:space="preserve">Организация уличного освещения </t>
  </si>
  <si>
    <t xml:space="preserve">Основное мероприятие "Улучшение энергетических характеристик
зданий, находящихся в муниципальной собственности Вожегодского муниципального округа
" </t>
  </si>
  <si>
    <t>08 0 01 10260</t>
  </si>
  <si>
    <t>08 0 02 00000</t>
  </si>
  <si>
    <t>08 0 02 S1090</t>
  </si>
  <si>
    <t>10504060020000110</t>
  </si>
  <si>
    <t>Налог, взимаемый в связи с применением патентной системы налогообложени, зачисляемый в бюджеты муниципальных округов</t>
  </si>
  <si>
    <t>10600000000000000</t>
  </si>
  <si>
    <t>Налоги на имущество</t>
  </si>
  <si>
    <t>10601020140000110</t>
  </si>
  <si>
    <t>10606032140000110</t>
  </si>
  <si>
    <t>Земельный налог с организаций, обладающих земельным участком, расположенным в границах муниципальных округов</t>
  </si>
  <si>
    <t>10606042140000110</t>
  </si>
  <si>
    <t>Земельный налог с физических лиц, обладающих земельным участком, расположенным в границах муниципальных округов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</si>
  <si>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</si>
  <si>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11105012140000120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</si>
  <si>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</si>
  <si>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11105024140000120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</si>
  <si>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</si>
  <si>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11105074140000120</t>
  </si>
  <si>
    <t>Доходы от сдачи в аренду имущества, составляющего казну муниципальных округов (за исключением земельных участков)</t>
  </si>
  <si>
    <t>11109044140000120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</si>
  <si>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</si>
  <si>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11301994140000130</t>
  </si>
  <si>
    <t>Прочие доходы от оказания платных услуг (работ) получателями средств бюджетов муниципальных округов</t>
  </si>
  <si>
    <t>11302064140000130</t>
  </si>
  <si>
    <t>Доходы, поступающие в порядке возмещения расходов, понесенных в связи с эксплуатацией имущества муниципальных округов</t>
  </si>
  <si>
    <t>11402043140000410</t>
  </si>
  <si>
    <t xml:space="preserve"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</si>
  <si>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11406012140000430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</si>
  <si>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</si>
  <si>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11406312140000430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</si>
  <si>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</si>
  <si>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08 0 03 00000</t>
  </si>
  <si>
    <t xml:space="preserve">Основное мероприятие "Содержание газораспределительных установок" </t>
  </si>
  <si>
    <t>Мероприятия в области коммунального хозяйства</t>
  </si>
  <si>
    <t>08 0 03 10500</t>
  </si>
  <si>
    <t xml:space="preserve">Основное мероприятие "Улучшение энергетических характеристик
зданий, находящихся в муниципальной собственности Вожегодского муниципального округа" </t>
  </si>
  <si>
    <t>Муниципальная программа "Развитие образования Вожегодского муниципального округа на 2023-2025 годы"</t>
  </si>
  <si>
    <t>Подпрограмма "Обеспечение создания условий для реализации муниципальной программы "Развитие образования Вожегодского муниципального округа на 2023-2025 годы"</t>
  </si>
  <si>
    <t xml:space="preserve">Подпрограмма "Обеспечение реализации муниципальной программы "Сохранение и развитие учреждений культуры и искусства, развитие туризма в  Вожегодском муниципальном округе на 2023-2027 годы" </t>
  </si>
  <si>
    <t>Основное мероприятие "Обеспечение функционирования МБУ "ЦОМУ""</t>
  </si>
  <si>
    <t>МБУ "ЦОМУ"</t>
  </si>
  <si>
    <t>Осуществление деятельности  Совета женщин округа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</si>
  <si>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</si>
  <si>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</si>
  <si>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 xml:space="preserve">НАЛОГОВЫЕ И НЕНАЛОГОВЫЕ ДОХОДЫ  </t>
  </si>
  <si>
    <t>Основное мероприятие  «Обеспечение деятельности Вожегодского территориального отдела администрации Вожегодского муниципального округа»</t>
  </si>
  <si>
    <t>Подпрограмма «Обеспечение деятельности Вожегодского территориального отдела администрации Вожегодского муниципального округа»</t>
  </si>
  <si>
    <t>Ведомственная структура расходов бюджета округа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2024 и 2025 годов</t>
  </si>
  <si>
    <t>555</t>
  </si>
  <si>
    <t>20225597140000150</t>
  </si>
  <si>
    <t>20235118140000150</t>
  </si>
  <si>
    <t>20225213140000150</t>
  </si>
  <si>
    <t>Субсидии бюджетам  муниципальных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</si>
  <si>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Субсидии бюджетам муниципальных округов на реконструкцию и капитальный ремонт региональных и муниципальных музеев</t>
  </si>
  <si>
    <t>20225172140000150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</si>
  <si>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</si>
  <si>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</si>
  <si>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20235179140000150</t>
  </si>
  <si>
    <t>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</si>
  <si>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</si>
  <si>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01 1 Е4 52130</t>
  </si>
  <si>
    <t>09  0 01 00000</t>
  </si>
  <si>
    <t>01 1 Е1 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</si>
  <si>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</si>
  <si>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Осуществление полномочий по первичному воинскому учету органами местного самоуправления поселений и муниципальных округов</t>
  </si>
  <si>
    <t>02 1 А1 00000</t>
  </si>
  <si>
    <t>Реконструкция и капитальный ремонт муниципальных музеев</t>
  </si>
  <si>
    <t>02 1 А1 55970</t>
  </si>
  <si>
    <t xml:space="preserve">Приобретение услуг распределительно-логистического центра на поставки продовольственных товаров для муниципальных образовательных организаций </t>
  </si>
  <si>
    <t>16 0 08 00000</t>
  </si>
  <si>
    <t>16 0 09 00000</t>
  </si>
  <si>
    <t>Основное мероприятие "Реализация регионального проекта "Патриотическое воспитание граждан Российской Федерации (Вологодская область)"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</si>
  <si>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</si>
  <si>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 1 ЕB 00000</t>
  </si>
  <si>
    <t>01 1 ЕB 51790</t>
  </si>
  <si>
    <t xml:space="preserve">Основное мероприятие "Приобретение услуг распределительно-логистического центра на поставки продовольственных товаров для муниципальных образовательных организаций " </t>
  </si>
  <si>
    <t>01 4 02 00000</t>
  </si>
  <si>
    <t>01 4 02 S1460</t>
  </si>
  <si>
    <t>Управление образования администрации Вожегодского муниципального округа Вологодской области</t>
  </si>
  <si>
    <t>Представительное Собрание Вожегодского муниципального округа Вологодской области</t>
  </si>
  <si>
    <t>Контрольно-счетное управление Вожегодского муниципального округа Вологодской области</t>
  </si>
  <si>
    <t>Администрация Вожегодского муниципального округа Вологодской области</t>
  </si>
  <si>
    <t>Вожегодский территориальный отдел администрации Вожегодского муниципального округа Вологодской области</t>
  </si>
  <si>
    <t>Управление финансов и экономики администрации Вожегодского муниципального округа Вологодской области</t>
  </si>
  <si>
    <t>Основное мероприятие "Реализация регионального проекта "Современная школа"</t>
  </si>
  <si>
    <t xml:space="preserve">Мероприятия по текущему и капитальному ремонту </t>
  </si>
  <si>
    <t>Основное мероприятие "Обеспечение деятельности МБУ защиты в чрезвычайных ситуациях Вожегодского муниципального округа "Аварийно-спасательная служба"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</si>
  <si>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</si>
  <si>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МКУ "Единый межведомственный центр бюджетного (бухгалтерского) учета и отчетности"</t>
  </si>
  <si>
    <t>02 2 02 03590</t>
  </si>
  <si>
    <t>02 3 02 01590</t>
  </si>
  <si>
    <t>02 4 02 01590</t>
  </si>
  <si>
    <t>от 15.12.2022 № 66</t>
  </si>
  <si>
    <t>02 1 02 02590</t>
  </si>
  <si>
    <t>Проведение мероприятий по предотвращению распространения сорного растения борщевик Сосновского</t>
  </si>
  <si>
    <t>830</t>
  </si>
  <si>
    <t>Исполнение судебных актов</t>
  </si>
  <si>
    <t>18 1 F2 S1551</t>
  </si>
  <si>
    <t>01 1 05 S1940</t>
  </si>
  <si>
    <t>«Приложение 5</t>
  </si>
  <si>
    <t>«Приложение 6</t>
  </si>
  <si>
    <t>«Приложение 7</t>
  </si>
  <si>
    <t>«Приложение 8</t>
  </si>
  <si>
    <t>«Приложение 1</t>
  </si>
  <si>
    <t>Приложение 5</t>
  </si>
  <si>
    <t>06 0 03 10290</t>
  </si>
  <si>
    <t>555 01 00 00 00 00 0000 000</t>
  </si>
  <si>
    <t>555 01 05 00 00 00 0000 000</t>
  </si>
  <si>
    <t>555 01 05 00 00 00 0000 600</t>
  </si>
  <si>
    <t>555 01 05 02 00 00 0000 600</t>
  </si>
  <si>
    <t>555 01 05 02 01 00 0000 610</t>
  </si>
  <si>
    <t>555 01 05 02 01 14 0000 610</t>
  </si>
  <si>
    <t>555 01 05 00 00 00 0000 500</t>
  </si>
  <si>
    <t>555 01 05 02 00 00 0000 500</t>
  </si>
  <si>
    <t>555 01 05 02 01 14 0000 510</t>
  </si>
  <si>
    <t>81 2 00 22230</t>
  </si>
  <si>
    <t>«Приложение 2</t>
  </si>
  <si>
    <t>Межбюджетные трансферты, передаваемые бюджетам муниципальных округов на поддержку отрасли культуры</t>
  </si>
  <si>
    <t xml:space="preserve">
20245519140000150
</t>
  </si>
  <si>
    <t>Комплектование книжных фондов муниципальных библиотек</t>
  </si>
  <si>
    <t>16 0 06 14590</t>
  </si>
  <si>
    <t>08 0 02 10510</t>
  </si>
  <si>
    <t xml:space="preserve">Основное мероприятие "Организация и обустройство систем уличного освещения"
</t>
  </si>
  <si>
    <t>10 1 02 06590</t>
  </si>
  <si>
    <t xml:space="preserve">Основное мероприятие "Подключение (технологическое приосединение) к сетям коммунальной инфраструктуры" </t>
  </si>
  <si>
    <t>Реализация мероприятий по подключению (технологическому приосединению) к сетям коммунальной инфраструктуры</t>
  </si>
  <si>
    <t>08 0 05 00000</t>
  </si>
  <si>
    <t>08 0 05 10520</t>
  </si>
  <si>
    <t>Реализация мероприятий по обустройству систем уличного освещения</t>
  </si>
  <si>
    <t>Cтроительство, реконструкция, капитальный ремонт, ремонт и благоустройство территории образовательных организаций муниципальной собственности</t>
  </si>
  <si>
    <t>Развитие сети учреждений культурно-досугового типа</t>
  </si>
  <si>
    <t>02 4 А1 M5130</t>
  </si>
  <si>
    <t>02 4 А1 55130</t>
  </si>
  <si>
    <t>20225513140000150</t>
  </si>
  <si>
    <t>Субсидии бюджетам муниципальных округов на развитие сети учреждений культурно-досугового типа</t>
  </si>
  <si>
    <t>Развитие сети учреждений культурно-досугового типа источником финансового обеспечения которых являются бюджетные кредиты в целях опережающего финансового обеспечения расходных обязательств субъектов Российской Федерации, принимаемых в целях реализации мероприятий, обеспечивающих достижение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</t>
  </si>
  <si>
    <t>от 24.08.2023 № 122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</si>
</sst>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_ ;[Red]\-#,##0.0\ "/>
    <numFmt numFmtId="183" formatCode="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[$-FC19]d\ mmmm\ yyyy\ &quot;г.&quot;"/>
    <numFmt numFmtId="190" formatCode="0;[Red]0"/>
    <numFmt numFmtId="191" formatCode="000000"/>
    <numFmt numFmtId="192" formatCode="0000"/>
    <numFmt numFmtId="193" formatCode="0.0%"/>
    <numFmt numFmtId="194" formatCode="000"/>
    <numFmt numFmtId="195" formatCode="#,##0_ ;[Red]\-#,##0\ "/>
    <numFmt numFmtId="196" formatCode="#,##0.0;[Red]\-#,##0.0"/>
    <numFmt numFmtId="197" formatCode="00000"/>
    <numFmt numFmtId="198" formatCode="0.0000"/>
    <numFmt numFmtId="199" formatCode="0.00000"/>
    <numFmt numFmtId="200" formatCode="0.000000"/>
    <numFmt numFmtId="201" formatCode="#,##0.0;[Red]\-#,##0.00"/>
    <numFmt numFmtId="202" formatCode="_-* #,##0.0_р_._-;\-* #,##0.0_р_._-;_-* &quot;-&quot;?_р_._-;_-@_-"/>
    <numFmt numFmtId="203" formatCode="#,##0.000"/>
    <numFmt numFmtId="204" formatCode="_-* #,##0.0_р_._-;\-* #,##0.0_р_._-;_-* &quot;-&quot;??_р_._-;_-@_-"/>
    <numFmt numFmtId="205" formatCode="_-* #,##0.0\ _₽_-;\-* #,##0.0\ _₽_-;_-* &quot;-&quot;?\ _₽_-;_-@_-"/>
    <numFmt numFmtId="206" formatCode="0.0000%"/>
    <numFmt numFmtId="207" formatCode="#,##0.0_ ;\-#,##0.0\ "/>
    <numFmt numFmtId="208" formatCode="#,##0.00;[Red]\-#,##0.00"/>
    <numFmt numFmtId="209" formatCode="00\.00"/>
    <numFmt numFmtId="210" formatCode="000\.00\.000\.0"/>
    <numFmt numFmtId="211" formatCode="00\.00\.00"/>
    <numFmt numFmtId="212" formatCode="0\.00\.0"/>
    <numFmt numFmtId="213" formatCode="0000\.00\.00"/>
    <numFmt numFmtId="214" formatCode="#,##0.00;[Red]\-#,##0.00;0.00"/>
    <numFmt numFmtId="215" formatCode="#,##0.00000"/>
    <numFmt numFmtId="216" formatCode="000\.0\.00\.00000\.00\.0000\.000"/>
  </numFmts>
  <fonts count="5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rgb="FF22272F"/>
      <name val="Times New Roman"/>
      <family val="1"/>
    </font>
    <font>
      <sz val="12"/>
      <color rgb="FF22272F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180" fontId="2" fillId="0" borderId="10" xfId="0" applyNumberFormat="1" applyFont="1" applyFill="1" applyBorder="1" applyAlignment="1">
      <alignment horizontal="right" wrapText="1"/>
    </xf>
    <xf numFmtId="181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180" fontId="3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 vertical="top" wrapText="1"/>
    </xf>
    <xf numFmtId="180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180" fontId="3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80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3" fillId="0" borderId="12" xfId="53" applyNumberFormat="1" applyFont="1" applyFill="1" applyBorder="1" applyAlignment="1" applyProtection="1">
      <alignment horizontal="left" vertical="center"/>
      <protection hidden="1"/>
    </xf>
    <xf numFmtId="49" fontId="2" fillId="0" borderId="13" xfId="0" applyNumberFormat="1" applyFont="1" applyFill="1" applyBorder="1" applyAlignment="1">
      <alignment horizontal="center" vertical="center" wrapText="1"/>
    </xf>
    <xf numFmtId="204" fontId="3" fillId="0" borderId="12" xfId="68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wrapText="1"/>
    </xf>
    <xf numFmtId="180" fontId="3" fillId="0" borderId="12" xfId="0" applyNumberFormat="1" applyFont="1" applyFill="1" applyBorder="1" applyAlignment="1">
      <alignment horizontal="center" vertical="center"/>
    </xf>
    <xf numFmtId="204" fontId="3" fillId="0" borderId="12" xfId="68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204" fontId="2" fillId="0" borderId="12" xfId="68" applyNumberFormat="1" applyFont="1" applyFill="1" applyBorder="1" applyAlignment="1">
      <alignment horizontal="center" vertical="center" wrapText="1"/>
    </xf>
    <xf numFmtId="204" fontId="2" fillId="0" borderId="12" xfId="68" applyNumberFormat="1" applyFont="1" applyFill="1" applyBorder="1" applyAlignment="1">
      <alignment vertical="center" wrapText="1"/>
    </xf>
    <xf numFmtId="204" fontId="3" fillId="0" borderId="12" xfId="68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right" wrapText="1"/>
    </xf>
    <xf numFmtId="0" fontId="3" fillId="0" borderId="15" xfId="53" applyNumberFormat="1" applyFont="1" applyFill="1" applyBorder="1" applyAlignment="1" applyProtection="1">
      <alignment horizontal="left" vertical="center"/>
      <protection hidden="1"/>
    </xf>
    <xf numFmtId="0" fontId="2" fillId="0" borderId="12" xfId="60" applyFont="1" applyFill="1" applyBorder="1" applyAlignment="1">
      <alignment vertical="top" wrapText="1"/>
      <protection/>
    </xf>
    <xf numFmtId="0" fontId="3" fillId="0" borderId="16" xfId="0" applyFont="1" applyFill="1" applyBorder="1" applyAlignment="1">
      <alignment vertical="top" wrapText="1"/>
    </xf>
    <xf numFmtId="207" fontId="3" fillId="0" borderId="12" xfId="68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justify" vertical="justify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justify" vertical="center" wrapText="1"/>
    </xf>
    <xf numFmtId="180" fontId="3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justify" wrapText="1"/>
    </xf>
    <xf numFmtId="0" fontId="2" fillId="0" borderId="0" xfId="0" applyFont="1" applyFill="1" applyAlignment="1">
      <alignment wrapText="1"/>
    </xf>
    <xf numFmtId="1" fontId="2" fillId="0" borderId="11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justify" vertical="top" wrapText="1"/>
    </xf>
    <xf numFmtId="180" fontId="2" fillId="0" borderId="18" xfId="0" applyNumberFormat="1" applyFont="1" applyFill="1" applyBorder="1" applyAlignment="1">
      <alignment horizontal="right" wrapText="1"/>
    </xf>
    <xf numFmtId="207" fontId="3" fillId="0" borderId="12" xfId="68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vertical="top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0" xfId="60" applyFont="1" applyFill="1" applyBorder="1" applyAlignment="1">
      <alignment vertical="top" wrapText="1"/>
      <protection/>
    </xf>
    <xf numFmtId="180" fontId="2" fillId="0" borderId="12" xfId="0" applyNumberFormat="1" applyFont="1" applyFill="1" applyBorder="1" applyAlignment="1">
      <alignment horizontal="right" wrapText="1"/>
    </xf>
    <xf numFmtId="0" fontId="2" fillId="0" borderId="12" xfId="53" applyNumberFormat="1" applyFont="1" applyFill="1" applyBorder="1" applyAlignment="1" applyProtection="1">
      <alignment horizontal="left" wrapText="1"/>
      <protection hidden="1"/>
    </xf>
    <xf numFmtId="207" fontId="3" fillId="0" borderId="12" xfId="68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204" fontId="3" fillId="0" borderId="20" xfId="68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204" fontId="3" fillId="0" borderId="21" xfId="68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top" wrapText="1"/>
    </xf>
    <xf numFmtId="180" fontId="3" fillId="0" borderId="12" xfId="0" applyNumberFormat="1" applyFont="1" applyFill="1" applyBorder="1" applyAlignment="1">
      <alignment horizontal="right" wrapText="1"/>
    </xf>
    <xf numFmtId="0" fontId="2" fillId="0" borderId="22" xfId="0" applyFont="1" applyFill="1" applyBorder="1" applyAlignment="1">
      <alignment horizontal="justify" vertical="top" wrapText="1"/>
    </xf>
    <xf numFmtId="180" fontId="2" fillId="0" borderId="21" xfId="0" applyNumberFormat="1" applyFont="1" applyFill="1" applyBorder="1" applyAlignment="1">
      <alignment horizontal="right" wrapText="1"/>
    </xf>
    <xf numFmtId="180" fontId="2" fillId="0" borderId="13" xfId="0" applyNumberFormat="1" applyFont="1" applyFill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180" fontId="2" fillId="0" borderId="20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55" applyNumberFormat="1" applyFont="1" applyFill="1" applyBorder="1" applyAlignment="1" applyProtection="1">
      <alignment horizontal="left" wrapText="1"/>
      <protection hidden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justify" vertical="top" wrapText="1"/>
    </xf>
    <xf numFmtId="180" fontId="3" fillId="0" borderId="13" xfId="0" applyNumberFormat="1" applyFont="1" applyFill="1" applyBorder="1" applyAlignment="1">
      <alignment horizontal="right" wrapText="1"/>
    </xf>
    <xf numFmtId="49" fontId="48" fillId="0" borderId="12" xfId="0" applyNumberFormat="1" applyFont="1" applyFill="1" applyBorder="1" applyAlignment="1">
      <alignment vertical="top"/>
    </xf>
    <xf numFmtId="0" fontId="48" fillId="0" borderId="12" xfId="0" applyFont="1" applyFill="1" applyBorder="1" applyAlignment="1">
      <alignment wrapText="1"/>
    </xf>
    <xf numFmtId="0" fontId="49" fillId="0" borderId="12" xfId="0" applyFont="1" applyFill="1" applyBorder="1" applyAlignment="1">
      <alignment vertical="center" wrapText="1"/>
    </xf>
    <xf numFmtId="49" fontId="2" fillId="0" borderId="12" xfId="60" applyNumberFormat="1" applyFont="1" applyFill="1" applyBorder="1" applyAlignment="1">
      <alignment horizontal="left" vertical="top" wrapText="1"/>
      <protection/>
    </xf>
    <xf numFmtId="0" fontId="2" fillId="0" borderId="13" xfId="0" applyFont="1" applyFill="1" applyBorder="1" applyAlignment="1">
      <alignment horizontal="justify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180" fontId="3" fillId="0" borderId="23" xfId="0" applyNumberFormat="1" applyFont="1" applyFill="1" applyBorder="1" applyAlignment="1">
      <alignment horizontal="right" wrapText="1"/>
    </xf>
    <xf numFmtId="180" fontId="0" fillId="0" borderId="0" xfId="0" applyNumberFormat="1" applyFill="1" applyAlignment="1">
      <alignment/>
    </xf>
    <xf numFmtId="1" fontId="3" fillId="0" borderId="12" xfId="0" applyNumberFormat="1" applyFont="1" applyFill="1" applyBorder="1" applyAlignment="1">
      <alignment horizontal="left" vertical="top" wrapText="1"/>
    </xf>
    <xf numFmtId="180" fontId="50" fillId="0" borderId="12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 vertical="center" wrapText="1"/>
    </xf>
    <xf numFmtId="180" fontId="5" fillId="0" borderId="21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top" wrapText="1"/>
    </xf>
    <xf numFmtId="0" fontId="2" fillId="0" borderId="13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top" wrapText="1"/>
    </xf>
    <xf numFmtId="180" fontId="2" fillId="0" borderId="12" xfId="0" applyNumberFormat="1" applyFont="1" applyFill="1" applyBorder="1" applyAlignment="1">
      <alignment horizontal="center" wrapText="1"/>
    </xf>
    <xf numFmtId="0" fontId="2" fillId="0" borderId="15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49" fontId="2" fillId="0" borderId="21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180" fontId="5" fillId="0" borderId="2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2" fillId="0" borderId="16" xfId="0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horizontal="center" vertical="center" wrapText="1"/>
    </xf>
    <xf numFmtId="180" fontId="5" fillId="0" borderId="2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2" fillId="0" borderId="19" xfId="0" applyFont="1" applyFill="1" applyBorder="1" applyAlignment="1">
      <alignment vertical="top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0" fontId="3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wrapText="1"/>
    </xf>
    <xf numFmtId="183" fontId="3" fillId="0" borderId="12" xfId="53" applyNumberFormat="1" applyFont="1" applyFill="1" applyBorder="1" applyAlignment="1" applyProtection="1">
      <alignment horizontal="center" vertical="center"/>
      <protection hidden="1"/>
    </xf>
    <xf numFmtId="183" fontId="2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>
      <alignment vertical="center" wrapText="1"/>
    </xf>
    <xf numFmtId="180" fontId="7" fillId="0" borderId="0" xfId="0" applyNumberFormat="1" applyFont="1" applyFill="1" applyAlignment="1">
      <alignment/>
    </xf>
    <xf numFmtId="180" fontId="2" fillId="0" borderId="28" xfId="0" applyNumberFormat="1" applyFont="1" applyFill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justify" wrapText="1"/>
    </xf>
    <xf numFmtId="49" fontId="2" fillId="0" borderId="12" xfId="0" applyNumberFormat="1" applyFont="1" applyFill="1" applyBorder="1" applyAlignment="1">
      <alignment horizontal="left" wrapText="1"/>
    </xf>
    <xf numFmtId="0" fontId="7" fillId="35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right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Обычный_Приложение к решению с 1 по 16  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tabSelected="1" zoomScale="70" zoomScaleNormal="70" zoomScalePageLayoutView="0" workbookViewId="0" topLeftCell="A1">
      <selection activeCell="B4" sqref="B4:E4"/>
    </sheetView>
  </sheetViews>
  <sheetFormatPr defaultColWidth="8.875" defaultRowHeight="12.75"/>
  <cols>
    <col min="1" max="1" width="30.625" style="1" customWidth="1"/>
    <col min="2" max="2" width="49.125" style="1" customWidth="1"/>
    <col min="3" max="3" width="13.625" style="1" customWidth="1"/>
    <col min="4" max="4" width="12.25390625" style="1" customWidth="1"/>
    <col min="5" max="5" width="13.00390625" style="1" customWidth="1"/>
    <col min="6" max="16384" width="8.875" style="1" customWidth="1"/>
  </cols>
  <sheetData>
    <row r="1" spans="2:5" ht="15.75">
      <c r="B1" s="205" t="s">
        <v>0</v>
      </c>
      <c r="C1" s="205"/>
      <c r="D1" s="205"/>
      <c r="E1" s="205"/>
    </row>
    <row r="2" spans="2:5" ht="15.75">
      <c r="B2" s="206" t="s">
        <v>1</v>
      </c>
      <c r="C2" s="206"/>
      <c r="D2" s="206"/>
      <c r="E2" s="206"/>
    </row>
    <row r="3" spans="2:5" ht="15.75">
      <c r="B3" s="205" t="s">
        <v>620</v>
      </c>
      <c r="C3" s="205"/>
      <c r="D3" s="205"/>
      <c r="E3" s="205"/>
    </row>
    <row r="4" spans="1:5" ht="15.75">
      <c r="A4" s="1" t="s">
        <v>601</v>
      </c>
      <c r="B4" s="205" t="s">
        <v>1032</v>
      </c>
      <c r="C4" s="205"/>
      <c r="D4" s="205"/>
      <c r="E4" s="205"/>
    </row>
    <row r="5" spans="2:5" ht="15.75">
      <c r="B5" s="205" t="s">
        <v>999</v>
      </c>
      <c r="C5" s="205"/>
      <c r="D5" s="205"/>
      <c r="E5" s="205"/>
    </row>
    <row r="6" spans="2:5" ht="15.75">
      <c r="B6" s="206" t="s">
        <v>1</v>
      </c>
      <c r="C6" s="206"/>
      <c r="D6" s="206"/>
      <c r="E6" s="206"/>
    </row>
    <row r="7" spans="2:5" ht="15.75">
      <c r="B7" s="205" t="s">
        <v>620</v>
      </c>
      <c r="C7" s="205"/>
      <c r="D7" s="205"/>
      <c r="E7" s="205"/>
    </row>
    <row r="8" spans="2:5" ht="15.75">
      <c r="B8" s="205" t="s">
        <v>988</v>
      </c>
      <c r="C8" s="205"/>
      <c r="D8" s="205"/>
      <c r="E8" s="205"/>
    </row>
    <row r="9" spans="1:5" ht="15.75">
      <c r="A9" s="2"/>
      <c r="B9" s="3"/>
      <c r="C9" s="3"/>
      <c r="D9" s="3"/>
      <c r="E9" s="3"/>
    </row>
    <row r="10" spans="1:5" ht="42.75" customHeight="1">
      <c r="A10" s="207" t="s">
        <v>720</v>
      </c>
      <c r="B10" s="207"/>
      <c r="C10" s="207"/>
      <c r="D10" s="207"/>
      <c r="E10" s="207"/>
    </row>
    <row r="11" spans="1:5" ht="15" customHeight="1">
      <c r="A11" s="207"/>
      <c r="B11" s="207"/>
      <c r="C11" s="207"/>
      <c r="D11" s="207"/>
      <c r="E11" s="207"/>
    </row>
    <row r="12" spans="1:5" ht="15.75">
      <c r="A12" s="4"/>
      <c r="B12" s="4"/>
      <c r="C12" s="4"/>
      <c r="D12" s="4"/>
      <c r="E12" s="4"/>
    </row>
    <row r="13" spans="1:5" ht="15.75">
      <c r="A13" s="5"/>
      <c r="B13" s="206" t="s">
        <v>2</v>
      </c>
      <c r="C13" s="206"/>
      <c r="D13" s="206"/>
      <c r="E13" s="206"/>
    </row>
    <row r="14" spans="1:5" ht="60.75" customHeight="1">
      <c r="A14" s="208" t="s">
        <v>3</v>
      </c>
      <c r="B14" s="208" t="s">
        <v>4</v>
      </c>
      <c r="C14" s="208" t="s">
        <v>5</v>
      </c>
      <c r="D14" s="208"/>
      <c r="E14" s="208"/>
    </row>
    <row r="15" spans="1:5" ht="72" customHeight="1">
      <c r="A15" s="208"/>
      <c r="B15" s="208"/>
      <c r="C15" s="46" t="s">
        <v>514</v>
      </c>
      <c r="D15" s="46" t="s">
        <v>552</v>
      </c>
      <c r="E15" s="46" t="s">
        <v>664</v>
      </c>
    </row>
    <row r="16" spans="1:5" ht="15.75">
      <c r="A16" s="28">
        <v>1</v>
      </c>
      <c r="B16" s="28">
        <v>2</v>
      </c>
      <c r="C16" s="28">
        <v>3</v>
      </c>
      <c r="D16" s="28">
        <v>4</v>
      </c>
      <c r="E16" s="28">
        <v>5</v>
      </c>
    </row>
    <row r="17" spans="1:5" ht="32.25" customHeight="1">
      <c r="A17" s="50" t="s">
        <v>1002</v>
      </c>
      <c r="B17" s="50" t="s">
        <v>171</v>
      </c>
      <c r="C17" s="29">
        <f>C18</f>
        <v>20278.60000000021</v>
      </c>
      <c r="D17" s="29">
        <f>D18</f>
        <v>0</v>
      </c>
      <c r="E17" s="29">
        <f>E18</f>
        <v>0</v>
      </c>
    </row>
    <row r="18" spans="1:5" ht="36" customHeight="1">
      <c r="A18" s="63" t="s">
        <v>1003</v>
      </c>
      <c r="B18" s="63" t="s">
        <v>136</v>
      </c>
      <c r="C18" s="60">
        <f>C19+C23</f>
        <v>20278.60000000021</v>
      </c>
      <c r="D18" s="60">
        <f>D19+D23</f>
        <v>0</v>
      </c>
      <c r="E18" s="60">
        <f>E19+E23</f>
        <v>0</v>
      </c>
    </row>
    <row r="19" spans="1:5" ht="19.5" customHeight="1">
      <c r="A19" s="7" t="s">
        <v>1004</v>
      </c>
      <c r="B19" s="10" t="s">
        <v>25</v>
      </c>
      <c r="C19" s="69">
        <f aca="true" t="shared" si="0" ref="C19:E21">C20</f>
        <v>994133.7000000002</v>
      </c>
      <c r="D19" s="69">
        <f t="shared" si="0"/>
        <v>754011.9</v>
      </c>
      <c r="E19" s="69">
        <f t="shared" si="0"/>
        <v>528384.4</v>
      </c>
    </row>
    <row r="20" spans="1:5" ht="21" customHeight="1">
      <c r="A20" s="7" t="s">
        <v>1005</v>
      </c>
      <c r="B20" s="10" t="s">
        <v>26</v>
      </c>
      <c r="C20" s="69">
        <f t="shared" si="0"/>
        <v>994133.7000000002</v>
      </c>
      <c r="D20" s="69">
        <f t="shared" si="0"/>
        <v>754011.9</v>
      </c>
      <c r="E20" s="69">
        <f t="shared" si="0"/>
        <v>528384.4</v>
      </c>
    </row>
    <row r="21" spans="1:5" ht="34.5" customHeight="1">
      <c r="A21" s="7" t="s">
        <v>1006</v>
      </c>
      <c r="B21" s="10" t="s">
        <v>27</v>
      </c>
      <c r="C21" s="69">
        <f t="shared" si="0"/>
        <v>994133.7000000002</v>
      </c>
      <c r="D21" s="69">
        <f t="shared" si="0"/>
        <v>754011.9</v>
      </c>
      <c r="E21" s="69">
        <f t="shared" si="0"/>
        <v>528384.4</v>
      </c>
    </row>
    <row r="22" spans="1:5" ht="36" customHeight="1">
      <c r="A22" s="7" t="s">
        <v>1007</v>
      </c>
      <c r="B22" s="7" t="s">
        <v>665</v>
      </c>
      <c r="C22" s="11">
        <v>994133.7000000002</v>
      </c>
      <c r="D22" s="11">
        <v>754011.9</v>
      </c>
      <c r="E22" s="11">
        <v>528384.4</v>
      </c>
    </row>
    <row r="23" spans="1:5" ht="18" customHeight="1">
      <c r="A23" s="7" t="s">
        <v>1008</v>
      </c>
      <c r="B23" s="10" t="s">
        <v>28</v>
      </c>
      <c r="C23" s="11">
        <f aca="true" t="shared" si="1" ref="C23:E24">C24</f>
        <v>-973855.1</v>
      </c>
      <c r="D23" s="11">
        <f t="shared" si="1"/>
        <v>-754011.9</v>
      </c>
      <c r="E23" s="11">
        <f t="shared" si="1"/>
        <v>-528384.4</v>
      </c>
    </row>
    <row r="24" spans="1:5" ht="23.25" customHeight="1">
      <c r="A24" s="7" t="s">
        <v>1009</v>
      </c>
      <c r="B24" s="10" t="s">
        <v>29</v>
      </c>
      <c r="C24" s="11">
        <f t="shared" si="1"/>
        <v>-973855.1</v>
      </c>
      <c r="D24" s="11">
        <f t="shared" si="1"/>
        <v>-754011.9</v>
      </c>
      <c r="E24" s="11">
        <f t="shared" si="1"/>
        <v>-528384.4</v>
      </c>
    </row>
    <row r="25" spans="1:5" ht="33" customHeight="1">
      <c r="A25" s="7" t="s">
        <v>1010</v>
      </c>
      <c r="B25" s="8" t="s">
        <v>666</v>
      </c>
      <c r="C25" s="11">
        <v>-973855.1</v>
      </c>
      <c r="D25" s="11">
        <v>-754011.9</v>
      </c>
      <c r="E25" s="11">
        <v>-528384.4</v>
      </c>
    </row>
    <row r="26" ht="15.75">
      <c r="E26" s="16" t="s">
        <v>601</v>
      </c>
    </row>
    <row r="28" ht="15.75">
      <c r="B28" s="79"/>
    </row>
  </sheetData>
  <sheetProtection selectLockedCells="1" selectUnlockedCells="1"/>
  <mergeCells count="14">
    <mergeCell ref="C14:E14"/>
    <mergeCell ref="A14:A15"/>
    <mergeCell ref="B14:B15"/>
    <mergeCell ref="B5:E5"/>
    <mergeCell ref="B7:E7"/>
    <mergeCell ref="B6:E6"/>
    <mergeCell ref="B8:E8"/>
    <mergeCell ref="B13:E13"/>
    <mergeCell ref="A10:E10"/>
    <mergeCell ref="A11:E11"/>
    <mergeCell ref="B1:E1"/>
    <mergeCell ref="B2:E2"/>
    <mergeCell ref="B3:E3"/>
    <mergeCell ref="B4:E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00"/>
  <sheetViews>
    <sheetView zoomScale="82" zoomScaleNormal="82" zoomScaleSheetLayoutView="100" workbookViewId="0" topLeftCell="A1">
      <selection activeCell="J19" sqref="J19"/>
    </sheetView>
  </sheetViews>
  <sheetFormatPr defaultColWidth="9.00390625" defaultRowHeight="12.75"/>
  <cols>
    <col min="1" max="1" width="24.75390625" style="1" customWidth="1"/>
    <col min="2" max="2" width="51.625" style="1" customWidth="1"/>
    <col min="3" max="3" width="13.375" style="1" customWidth="1"/>
    <col min="4" max="4" width="11.00390625" style="1" customWidth="1"/>
    <col min="5" max="5" width="10.375" style="1" customWidth="1"/>
    <col min="6" max="16384" width="9.00390625" style="1" customWidth="1"/>
  </cols>
  <sheetData>
    <row r="1" spans="2:5" ht="15.75">
      <c r="B1" s="209" t="s">
        <v>30</v>
      </c>
      <c r="C1" s="209"/>
      <c r="D1" s="209"/>
      <c r="E1" s="209"/>
    </row>
    <row r="2" spans="2:5" ht="15.75">
      <c r="B2" s="209" t="s">
        <v>31</v>
      </c>
      <c r="C2" s="209"/>
      <c r="D2" s="209"/>
      <c r="E2" s="209"/>
    </row>
    <row r="3" spans="2:5" ht="15.75">
      <c r="B3" s="209" t="s">
        <v>621</v>
      </c>
      <c r="C3" s="209"/>
      <c r="D3" s="209"/>
      <c r="E3" s="209"/>
    </row>
    <row r="4" spans="2:5" ht="15.75">
      <c r="B4" s="209" t="s">
        <v>1032</v>
      </c>
      <c r="C4" s="209"/>
      <c r="D4" s="209"/>
      <c r="E4" s="209"/>
    </row>
    <row r="5" spans="2:5" ht="15.75">
      <c r="B5" s="205" t="s">
        <v>1012</v>
      </c>
      <c r="C5" s="205"/>
      <c r="D5" s="205"/>
      <c r="E5" s="205"/>
    </row>
    <row r="6" spans="2:5" ht="15.75">
      <c r="B6" s="209" t="s">
        <v>31</v>
      </c>
      <c r="C6" s="209"/>
      <c r="D6" s="209"/>
      <c r="E6" s="209"/>
    </row>
    <row r="7" spans="2:5" ht="15.75">
      <c r="B7" s="209" t="s">
        <v>621</v>
      </c>
      <c r="C7" s="209"/>
      <c r="D7" s="209"/>
      <c r="E7" s="209"/>
    </row>
    <row r="8" spans="2:5" ht="15.75">
      <c r="B8" s="209" t="s">
        <v>988</v>
      </c>
      <c r="C8" s="209"/>
      <c r="D8" s="209"/>
      <c r="E8" s="209"/>
    </row>
    <row r="9" spans="1:5" ht="30" customHeight="1">
      <c r="A9" s="210" t="s">
        <v>721</v>
      </c>
      <c r="B9" s="210"/>
      <c r="C9" s="210"/>
      <c r="D9" s="210"/>
      <c r="E9" s="210"/>
    </row>
    <row r="10" spans="1:5" ht="15.75" customHeight="1">
      <c r="A10" s="13"/>
      <c r="B10" s="13"/>
      <c r="C10" s="13"/>
      <c r="D10" s="13"/>
      <c r="E10" s="13"/>
    </row>
    <row r="11" spans="1:5" ht="15.75">
      <c r="A11" s="14"/>
      <c r="B11" s="15"/>
      <c r="C11" s="15"/>
      <c r="D11" s="15"/>
      <c r="E11" s="16" t="s">
        <v>2</v>
      </c>
    </row>
    <row r="12" spans="1:5" ht="15.75">
      <c r="A12" s="17" t="s">
        <v>32</v>
      </c>
      <c r="B12" s="17" t="s">
        <v>33</v>
      </c>
      <c r="C12" s="211" t="s">
        <v>34</v>
      </c>
      <c r="D12" s="212"/>
      <c r="E12" s="213"/>
    </row>
    <row r="13" spans="1:5" ht="15.75">
      <c r="A13" s="17"/>
      <c r="B13" s="17"/>
      <c r="C13" s="46" t="s">
        <v>514</v>
      </c>
      <c r="D13" s="46" t="s">
        <v>552</v>
      </c>
      <c r="E13" s="46" t="s">
        <v>664</v>
      </c>
    </row>
    <row r="14" spans="1:5" ht="15.75">
      <c r="A14" s="17" t="s">
        <v>35</v>
      </c>
      <c r="B14" s="17" t="s">
        <v>36</v>
      </c>
      <c r="C14" s="17" t="s">
        <v>116</v>
      </c>
      <c r="D14" s="17" t="s">
        <v>122</v>
      </c>
      <c r="E14" s="17" t="s">
        <v>94</v>
      </c>
    </row>
    <row r="15" spans="1:5" ht="15.75">
      <c r="A15" s="18">
        <v>10000000000000000</v>
      </c>
      <c r="B15" s="9" t="s">
        <v>940</v>
      </c>
      <c r="C15" s="19">
        <f>SUM(C16+C18+C23+C28+C32+C35+C40+C42+C45+C49)</f>
        <v>198696</v>
      </c>
      <c r="D15" s="19">
        <f>SUM(D16+D18+D23+D28+D32+D35+D40+D42+D45+D49)</f>
        <v>215054</v>
      </c>
      <c r="E15" s="19">
        <f>SUM(E16+E18+E23+E28+E32+E35+E40+E42+E45+E49)</f>
        <v>231927</v>
      </c>
    </row>
    <row r="16" spans="1:5" ht="15.75">
      <c r="A16" s="18">
        <v>10100000000000000</v>
      </c>
      <c r="B16" s="9" t="s">
        <v>37</v>
      </c>
      <c r="C16" s="19">
        <f>C17</f>
        <v>147173</v>
      </c>
      <c r="D16" s="19">
        <f>D17</f>
        <v>161073</v>
      </c>
      <c r="E16" s="19">
        <f>E17</f>
        <v>173058</v>
      </c>
    </row>
    <row r="17" spans="1:5" ht="15.75">
      <c r="A17" s="20" t="s">
        <v>38</v>
      </c>
      <c r="B17" s="10" t="s">
        <v>39</v>
      </c>
      <c r="C17" s="11">
        <v>147173</v>
      </c>
      <c r="D17" s="11">
        <v>161073</v>
      </c>
      <c r="E17" s="11">
        <v>173058</v>
      </c>
    </row>
    <row r="18" spans="1:5" ht="47.25">
      <c r="A18" s="80" t="s">
        <v>40</v>
      </c>
      <c r="B18" s="81" t="s">
        <v>41</v>
      </c>
      <c r="C18" s="19">
        <f>SUM(C19:C22)</f>
        <v>14168</v>
      </c>
      <c r="D18" s="19">
        <f>SUM(D19:D22)</f>
        <v>15066</v>
      </c>
      <c r="E18" s="19">
        <f>SUM(E19:E22)</f>
        <v>15945</v>
      </c>
    </row>
    <row r="19" spans="1:5" ht="157.5">
      <c r="A19" s="20" t="s">
        <v>451</v>
      </c>
      <c r="B19" s="10" t="s">
        <v>455</v>
      </c>
      <c r="C19" s="11">
        <v>6605</v>
      </c>
      <c r="D19" s="11">
        <v>7023</v>
      </c>
      <c r="E19" s="11">
        <v>7430</v>
      </c>
    </row>
    <row r="20" spans="1:5" ht="173.25">
      <c r="A20" s="20" t="s">
        <v>452</v>
      </c>
      <c r="B20" s="10" t="s">
        <v>456</v>
      </c>
      <c r="C20" s="11">
        <v>46</v>
      </c>
      <c r="D20" s="11">
        <v>49</v>
      </c>
      <c r="E20" s="11">
        <v>51</v>
      </c>
    </row>
    <row r="21" spans="1:5" ht="157.5">
      <c r="A21" s="20" t="s">
        <v>453</v>
      </c>
      <c r="B21" s="10" t="s">
        <v>457</v>
      </c>
      <c r="C21" s="11">
        <v>8678</v>
      </c>
      <c r="D21" s="11">
        <v>9228</v>
      </c>
      <c r="E21" s="11">
        <v>9766</v>
      </c>
    </row>
    <row r="22" spans="1:5" ht="157.5">
      <c r="A22" s="20" t="s">
        <v>454</v>
      </c>
      <c r="B22" s="10" t="s">
        <v>458</v>
      </c>
      <c r="C22" s="11">
        <v>-1161</v>
      </c>
      <c r="D22" s="11">
        <v>-1234</v>
      </c>
      <c r="E22" s="11">
        <v>-1302</v>
      </c>
    </row>
    <row r="23" spans="1:5" ht="15.75">
      <c r="A23" s="80" t="s">
        <v>42</v>
      </c>
      <c r="B23" s="81" t="s">
        <v>43</v>
      </c>
      <c r="C23" s="19">
        <f>SUM(C24:C27)</f>
        <v>23635</v>
      </c>
      <c r="D23" s="19">
        <f>SUM(D24:D27)</f>
        <v>25109</v>
      </c>
      <c r="E23" s="19">
        <f>SUM(E24:E27)</f>
        <v>29040</v>
      </c>
    </row>
    <row r="24" spans="1:5" ht="47.25">
      <c r="A24" s="82" t="s">
        <v>365</v>
      </c>
      <c r="B24" s="20" t="s">
        <v>364</v>
      </c>
      <c r="C24" s="11">
        <v>18100</v>
      </c>
      <c r="D24" s="11">
        <v>19256</v>
      </c>
      <c r="E24" s="11">
        <v>22750</v>
      </c>
    </row>
    <row r="25" spans="1:5" ht="47.25">
      <c r="A25" s="83" t="s">
        <v>367</v>
      </c>
      <c r="B25" s="84" t="s">
        <v>366</v>
      </c>
      <c r="C25" s="11">
        <v>3959</v>
      </c>
      <c r="D25" s="11">
        <v>4220</v>
      </c>
      <c r="E25" s="11">
        <v>4567</v>
      </c>
    </row>
    <row r="26" spans="1:5" ht="15.75">
      <c r="A26" s="20" t="s">
        <v>44</v>
      </c>
      <c r="B26" s="10" t="s">
        <v>45</v>
      </c>
      <c r="C26" s="11">
        <v>126</v>
      </c>
      <c r="D26" s="11">
        <v>143</v>
      </c>
      <c r="E26" s="11">
        <v>193</v>
      </c>
    </row>
    <row r="27" spans="1:5" ht="47.25">
      <c r="A27" s="20" t="s">
        <v>899</v>
      </c>
      <c r="B27" s="10" t="s">
        <v>900</v>
      </c>
      <c r="C27" s="11">
        <v>1450</v>
      </c>
      <c r="D27" s="11">
        <v>1490</v>
      </c>
      <c r="E27" s="11">
        <v>1530</v>
      </c>
    </row>
    <row r="28" spans="1:5" ht="15.75">
      <c r="A28" s="80" t="s">
        <v>901</v>
      </c>
      <c r="B28" s="81" t="s">
        <v>902</v>
      </c>
      <c r="C28" s="19">
        <f>SUM(C29:C31)</f>
        <v>5538</v>
      </c>
      <c r="D28" s="19">
        <f>SUM(D29:D31)</f>
        <v>5597</v>
      </c>
      <c r="E28" s="19">
        <f>SUM(E29:E31)</f>
        <v>5657</v>
      </c>
    </row>
    <row r="29" spans="1:5" ht="63">
      <c r="A29" s="20" t="s">
        <v>903</v>
      </c>
      <c r="B29" s="10" t="s">
        <v>983</v>
      </c>
      <c r="C29" s="11">
        <v>2815</v>
      </c>
      <c r="D29" s="11">
        <v>2874</v>
      </c>
      <c r="E29" s="11">
        <v>2934</v>
      </c>
    </row>
    <row r="30" spans="1:5" ht="47.25">
      <c r="A30" s="20" t="s">
        <v>904</v>
      </c>
      <c r="B30" s="10" t="s">
        <v>905</v>
      </c>
      <c r="C30" s="11">
        <v>896</v>
      </c>
      <c r="D30" s="11">
        <v>896</v>
      </c>
      <c r="E30" s="11">
        <v>896</v>
      </c>
    </row>
    <row r="31" spans="1:5" ht="47.25">
      <c r="A31" s="20" t="s">
        <v>906</v>
      </c>
      <c r="B31" s="10" t="s">
        <v>907</v>
      </c>
      <c r="C31" s="11">
        <v>1827</v>
      </c>
      <c r="D31" s="11">
        <v>1827</v>
      </c>
      <c r="E31" s="11">
        <v>1827</v>
      </c>
    </row>
    <row r="32" spans="1:5" ht="15.75">
      <c r="A32" s="18">
        <v>10800000000000000</v>
      </c>
      <c r="B32" s="81" t="s">
        <v>206</v>
      </c>
      <c r="C32" s="19">
        <f>C33+C34</f>
        <v>1557</v>
      </c>
      <c r="D32" s="19">
        <f>D33+D34</f>
        <v>1567</v>
      </c>
      <c r="E32" s="19">
        <f>E33+E34</f>
        <v>1567</v>
      </c>
    </row>
    <row r="33" spans="1:5" ht="63">
      <c r="A33" s="85" t="s">
        <v>424</v>
      </c>
      <c r="B33" s="87" t="s">
        <v>423</v>
      </c>
      <c r="C33" s="11">
        <v>1480</v>
      </c>
      <c r="D33" s="11">
        <v>1490</v>
      </c>
      <c r="E33" s="11">
        <v>1490</v>
      </c>
    </row>
    <row r="34" spans="1:5" ht="110.25">
      <c r="A34" s="88">
        <v>10804020010000100</v>
      </c>
      <c r="B34" s="54" t="s">
        <v>908</v>
      </c>
      <c r="C34" s="90">
        <v>77</v>
      </c>
      <c r="D34" s="11">
        <v>77</v>
      </c>
      <c r="E34" s="11">
        <v>77</v>
      </c>
    </row>
    <row r="35" spans="1:5" ht="47.25">
      <c r="A35" s="18">
        <v>11100000000000000</v>
      </c>
      <c r="B35" s="89" t="s">
        <v>207</v>
      </c>
      <c r="C35" s="19">
        <f>SUM(C36:C39)</f>
        <v>5556</v>
      </c>
      <c r="D35" s="19">
        <f>SUM(D36:D39)</f>
        <v>5556</v>
      </c>
      <c r="E35" s="19">
        <f>SUM(E36:E39)</f>
        <v>5556</v>
      </c>
    </row>
    <row r="36" spans="1:5" ht="94.5" customHeight="1">
      <c r="A36" s="20" t="s">
        <v>909</v>
      </c>
      <c r="B36" s="10" t="s">
        <v>910</v>
      </c>
      <c r="C36" s="11">
        <v>3900</v>
      </c>
      <c r="D36" s="11">
        <v>3900</v>
      </c>
      <c r="E36" s="11">
        <v>3900</v>
      </c>
    </row>
    <row r="37" spans="1:5" ht="92.25" customHeight="1">
      <c r="A37" s="20" t="s">
        <v>911</v>
      </c>
      <c r="B37" s="87" t="s">
        <v>912</v>
      </c>
      <c r="C37" s="11">
        <v>17</v>
      </c>
      <c r="D37" s="11">
        <v>17</v>
      </c>
      <c r="E37" s="11">
        <v>17</v>
      </c>
    </row>
    <row r="38" spans="1:5" ht="47.25">
      <c r="A38" s="20" t="s">
        <v>913</v>
      </c>
      <c r="B38" s="10" t="s">
        <v>914</v>
      </c>
      <c r="C38" s="11">
        <v>989</v>
      </c>
      <c r="D38" s="11">
        <v>989</v>
      </c>
      <c r="E38" s="11">
        <v>989</v>
      </c>
    </row>
    <row r="39" spans="1:5" ht="92.25" customHeight="1">
      <c r="A39" s="20" t="s">
        <v>915</v>
      </c>
      <c r="B39" s="87" t="s">
        <v>916</v>
      </c>
      <c r="C39" s="11">
        <v>650</v>
      </c>
      <c r="D39" s="11">
        <v>650</v>
      </c>
      <c r="E39" s="11">
        <v>650</v>
      </c>
    </row>
    <row r="40" spans="1:5" ht="31.5">
      <c r="A40" s="80" t="s">
        <v>200</v>
      </c>
      <c r="B40" s="9" t="s">
        <v>201</v>
      </c>
      <c r="C40" s="19">
        <f>C41</f>
        <v>83</v>
      </c>
      <c r="D40" s="19">
        <f>D41</f>
        <v>100</v>
      </c>
      <c r="E40" s="19">
        <f>E41</f>
        <v>118</v>
      </c>
    </row>
    <row r="41" spans="1:5" ht="31.5">
      <c r="A41" s="20" t="s">
        <v>202</v>
      </c>
      <c r="B41" s="7" t="s">
        <v>203</v>
      </c>
      <c r="C41" s="11">
        <v>83</v>
      </c>
      <c r="D41" s="11">
        <v>100</v>
      </c>
      <c r="E41" s="11">
        <v>118</v>
      </c>
    </row>
    <row r="42" spans="1:5" ht="31.5">
      <c r="A42" s="80" t="s">
        <v>204</v>
      </c>
      <c r="B42" s="9" t="s">
        <v>396</v>
      </c>
      <c r="C42" s="19">
        <f>C43+C44</f>
        <v>49</v>
      </c>
      <c r="D42" s="19">
        <f>D43+D44</f>
        <v>49</v>
      </c>
      <c r="E42" s="19">
        <f>E43+E44</f>
        <v>49</v>
      </c>
    </row>
    <row r="43" spans="1:5" ht="47.25">
      <c r="A43" s="20" t="s">
        <v>917</v>
      </c>
      <c r="B43" s="71" t="s">
        <v>918</v>
      </c>
      <c r="C43" s="11">
        <v>19</v>
      </c>
      <c r="D43" s="11">
        <v>19</v>
      </c>
      <c r="E43" s="11">
        <v>19</v>
      </c>
    </row>
    <row r="44" spans="1:5" ht="47.25">
      <c r="A44" s="20" t="s">
        <v>919</v>
      </c>
      <c r="B44" s="105" t="s">
        <v>920</v>
      </c>
      <c r="C44" s="11">
        <v>30</v>
      </c>
      <c r="D44" s="11">
        <v>30</v>
      </c>
      <c r="E44" s="11">
        <v>30</v>
      </c>
    </row>
    <row r="45" spans="1:5" ht="31.5">
      <c r="A45" s="80" t="s">
        <v>209</v>
      </c>
      <c r="B45" s="9" t="s">
        <v>210</v>
      </c>
      <c r="C45" s="19">
        <f>SUM(C46:C48)</f>
        <v>217</v>
      </c>
      <c r="D45" s="19">
        <f>SUM(D46:D48)</f>
        <v>217</v>
      </c>
      <c r="E45" s="19">
        <f>SUM(E46:E48)</f>
        <v>217</v>
      </c>
    </row>
    <row r="46" spans="1:5" ht="126">
      <c r="A46" s="20" t="s">
        <v>921</v>
      </c>
      <c r="B46" s="86" t="s">
        <v>922</v>
      </c>
      <c r="C46" s="11">
        <v>50</v>
      </c>
      <c r="D46" s="11">
        <v>50</v>
      </c>
      <c r="E46" s="11">
        <v>50</v>
      </c>
    </row>
    <row r="47" spans="1:5" ht="63">
      <c r="A47" s="82" t="s">
        <v>923</v>
      </c>
      <c r="B47" s="140" t="s">
        <v>924</v>
      </c>
      <c r="C47" s="121">
        <v>81</v>
      </c>
      <c r="D47" s="121">
        <v>81</v>
      </c>
      <c r="E47" s="121">
        <v>81</v>
      </c>
    </row>
    <row r="48" spans="1:5" ht="110.25">
      <c r="A48" s="83" t="s">
        <v>925</v>
      </c>
      <c r="B48" s="75" t="s">
        <v>926</v>
      </c>
      <c r="C48" s="106">
        <v>86</v>
      </c>
      <c r="D48" s="106">
        <v>86</v>
      </c>
      <c r="E48" s="106">
        <v>86</v>
      </c>
    </row>
    <row r="49" spans="1:5" ht="15.75">
      <c r="A49" s="122" t="s">
        <v>211</v>
      </c>
      <c r="B49" s="117" t="s">
        <v>212</v>
      </c>
      <c r="C49" s="118">
        <v>720</v>
      </c>
      <c r="D49" s="118">
        <v>720</v>
      </c>
      <c r="E49" s="118">
        <v>720</v>
      </c>
    </row>
    <row r="50" spans="1:5" ht="15.75">
      <c r="A50" s="144">
        <v>20000000000000000</v>
      </c>
      <c r="B50" s="153" t="s">
        <v>939</v>
      </c>
      <c r="C50" s="118">
        <f>C51+C83</f>
        <v>775159.1</v>
      </c>
      <c r="D50" s="118">
        <f>D51+D83</f>
        <v>538957.9</v>
      </c>
      <c r="E50" s="118">
        <f>E51+E83</f>
        <v>296457.39999999997</v>
      </c>
    </row>
    <row r="51" spans="1:5" ht="47.25">
      <c r="A51" s="144">
        <v>20200000000000000</v>
      </c>
      <c r="B51" s="117" t="s">
        <v>938</v>
      </c>
      <c r="C51" s="118">
        <f>C52+C56+C73+C81</f>
        <v>774259</v>
      </c>
      <c r="D51" s="118">
        <f>D52+D56+D73+D81</f>
        <v>538957.9</v>
      </c>
      <c r="E51" s="118">
        <f>E52+E56+E73+E81</f>
        <v>296457.39999999997</v>
      </c>
    </row>
    <row r="52" spans="1:5" ht="31.5">
      <c r="A52" s="122" t="s">
        <v>404</v>
      </c>
      <c r="B52" s="117" t="s">
        <v>394</v>
      </c>
      <c r="C52" s="118">
        <f>SUM(C53:C55)</f>
        <v>164465</v>
      </c>
      <c r="D52" s="118">
        <f>SUM(D53:D55)</f>
        <v>149561.8</v>
      </c>
      <c r="E52" s="118">
        <f>SUM(E53:E55)</f>
        <v>126738.5</v>
      </c>
    </row>
    <row r="53" spans="1:5" ht="47.25">
      <c r="A53" s="83" t="s">
        <v>624</v>
      </c>
      <c r="B53" s="134" t="s">
        <v>625</v>
      </c>
      <c r="C53" s="106">
        <v>68090.4</v>
      </c>
      <c r="D53" s="106">
        <v>65293.7</v>
      </c>
      <c r="E53" s="106">
        <v>38374.2</v>
      </c>
    </row>
    <row r="54" spans="1:5" ht="47.25">
      <c r="A54" s="83" t="s">
        <v>626</v>
      </c>
      <c r="B54" s="134" t="s">
        <v>627</v>
      </c>
      <c r="C54" s="106">
        <v>16090.3</v>
      </c>
      <c r="D54" s="106">
        <v>0</v>
      </c>
      <c r="E54" s="106">
        <v>0</v>
      </c>
    </row>
    <row r="55" spans="1:5" ht="60">
      <c r="A55" s="136" t="s">
        <v>628</v>
      </c>
      <c r="B55" s="137" t="s">
        <v>629</v>
      </c>
      <c r="C55" s="106">
        <v>80284.3</v>
      </c>
      <c r="D55" s="106">
        <v>84268.1</v>
      </c>
      <c r="E55" s="106">
        <v>88364.3</v>
      </c>
    </row>
    <row r="56" spans="1:5" ht="47.25">
      <c r="A56" s="122" t="s">
        <v>409</v>
      </c>
      <c r="B56" s="92" t="s">
        <v>410</v>
      </c>
      <c r="C56" s="118">
        <f>SUM(C57:C72)</f>
        <v>472375.8</v>
      </c>
      <c r="D56" s="118">
        <f>SUM(D57:D72)</f>
        <v>245393.90000000002</v>
      </c>
      <c r="E56" s="118">
        <f>SUM(E57:E72)</f>
        <v>20242.3</v>
      </c>
    </row>
    <row r="57" spans="1:5" ht="47.25">
      <c r="A57" s="83" t="s">
        <v>630</v>
      </c>
      <c r="B57" s="54" t="s">
        <v>631</v>
      </c>
      <c r="C57" s="106">
        <v>67039</v>
      </c>
      <c r="D57" s="106">
        <v>0</v>
      </c>
      <c r="E57" s="118">
        <v>0</v>
      </c>
    </row>
    <row r="58" spans="1:5" ht="157.5">
      <c r="A58" s="83" t="s">
        <v>632</v>
      </c>
      <c r="B58" s="54" t="s">
        <v>633</v>
      </c>
      <c r="C58" s="106">
        <v>63329.1</v>
      </c>
      <c r="D58" s="106">
        <v>80028</v>
      </c>
      <c r="E58" s="106">
        <v>0</v>
      </c>
    </row>
    <row r="59" spans="1:5" ht="110.25">
      <c r="A59" s="83" t="s">
        <v>634</v>
      </c>
      <c r="B59" s="54" t="s">
        <v>635</v>
      </c>
      <c r="C59" s="106">
        <v>179327.5</v>
      </c>
      <c r="D59" s="106">
        <v>123002.5</v>
      </c>
      <c r="E59" s="106">
        <v>0</v>
      </c>
    </row>
    <row r="60" spans="1:5" ht="116.25" customHeight="1">
      <c r="A60" s="83" t="s">
        <v>950</v>
      </c>
      <c r="B60" s="55" t="s">
        <v>951</v>
      </c>
      <c r="C60" s="106">
        <v>2195.1</v>
      </c>
      <c r="D60" s="106"/>
      <c r="E60" s="106"/>
    </row>
    <row r="61" spans="1:5" ht="78.75">
      <c r="A61" s="83" t="s">
        <v>947</v>
      </c>
      <c r="B61" s="134" t="s">
        <v>948</v>
      </c>
      <c r="C61" s="106">
        <v>0</v>
      </c>
      <c r="D61" s="106">
        <v>3478.1</v>
      </c>
      <c r="E61" s="106">
        <v>0</v>
      </c>
    </row>
    <row r="62" spans="1:5" ht="47.25">
      <c r="A62" s="83" t="s">
        <v>636</v>
      </c>
      <c r="B62" s="134" t="s">
        <v>637</v>
      </c>
      <c r="C62" s="106">
        <v>3667.7</v>
      </c>
      <c r="D62" s="106">
        <v>0</v>
      </c>
      <c r="E62" s="106">
        <v>0</v>
      </c>
    </row>
    <row r="63" spans="1:5" ht="47.25">
      <c r="A63" s="83" t="s">
        <v>638</v>
      </c>
      <c r="B63" s="134" t="s">
        <v>639</v>
      </c>
      <c r="C63" s="106">
        <v>36621.8</v>
      </c>
      <c r="D63" s="106">
        <v>16672.2</v>
      </c>
      <c r="E63" s="106">
        <v>0</v>
      </c>
    </row>
    <row r="64" spans="1:5" ht="78.75">
      <c r="A64" s="83" t="s">
        <v>640</v>
      </c>
      <c r="B64" s="134" t="s">
        <v>641</v>
      </c>
      <c r="C64" s="106">
        <v>5315.5</v>
      </c>
      <c r="D64" s="106">
        <v>5315.5</v>
      </c>
      <c r="E64" s="106">
        <v>5262.3</v>
      </c>
    </row>
    <row r="65" spans="1:5" ht="47.25">
      <c r="A65" s="83" t="s">
        <v>642</v>
      </c>
      <c r="B65" s="134" t="s">
        <v>643</v>
      </c>
      <c r="C65" s="106">
        <v>403.9</v>
      </c>
      <c r="D65" s="106">
        <v>426.6</v>
      </c>
      <c r="E65" s="106">
        <v>416</v>
      </c>
    </row>
    <row r="66" spans="1:5" ht="31.5" hidden="1">
      <c r="A66" s="83" t="s">
        <v>535</v>
      </c>
      <c r="B66" s="119" t="s">
        <v>486</v>
      </c>
      <c r="C66" s="106">
        <v>0</v>
      </c>
      <c r="D66" s="106">
        <v>0</v>
      </c>
      <c r="E66" s="106">
        <v>0</v>
      </c>
    </row>
    <row r="67" spans="1:5" ht="47.25">
      <c r="A67" s="83" t="s">
        <v>1029</v>
      </c>
      <c r="B67" s="119" t="s">
        <v>1030</v>
      </c>
      <c r="C67" s="106">
        <f>1580.1+5290</f>
        <v>6870.1</v>
      </c>
      <c r="D67" s="106"/>
      <c r="E67" s="120"/>
    </row>
    <row r="68" spans="1:5" ht="47.25">
      <c r="A68" s="83" t="s">
        <v>644</v>
      </c>
      <c r="B68" s="119" t="s">
        <v>645</v>
      </c>
      <c r="C68" s="106">
        <v>0</v>
      </c>
      <c r="D68" s="106">
        <v>0</v>
      </c>
      <c r="E68" s="120">
        <v>0</v>
      </c>
    </row>
    <row r="69" spans="1:5" ht="47.25">
      <c r="A69" s="83" t="s">
        <v>646</v>
      </c>
      <c r="B69" s="138" t="s">
        <v>647</v>
      </c>
      <c r="C69" s="106">
        <f>2137.8+1777.9</f>
        <v>3915.7000000000003</v>
      </c>
      <c r="D69" s="106">
        <v>1907</v>
      </c>
      <c r="E69" s="120">
        <v>0</v>
      </c>
    </row>
    <row r="70" spans="1:5" ht="94.5" hidden="1">
      <c r="A70" s="83" t="s">
        <v>648</v>
      </c>
      <c r="B70" s="129" t="s">
        <v>649</v>
      </c>
      <c r="C70" s="106">
        <v>0</v>
      </c>
      <c r="D70" s="106">
        <v>0</v>
      </c>
      <c r="E70" s="120">
        <v>0</v>
      </c>
    </row>
    <row r="71" spans="1:5" ht="47.25">
      <c r="A71" s="83" t="s">
        <v>945</v>
      </c>
      <c r="B71" s="129" t="s">
        <v>949</v>
      </c>
      <c r="C71" s="106">
        <v>4296.4</v>
      </c>
      <c r="D71" s="106"/>
      <c r="E71" s="120"/>
    </row>
    <row r="72" spans="1:5" ht="31.5">
      <c r="A72" s="83" t="s">
        <v>650</v>
      </c>
      <c r="B72" s="134" t="s">
        <v>651</v>
      </c>
      <c r="C72" s="106">
        <v>99394</v>
      </c>
      <c r="D72" s="106">
        <f>1734.2+600+3695.3+110.3+659.8+6336+506+340+582.4</f>
        <v>14564</v>
      </c>
      <c r="E72" s="106">
        <f>1734.2+600+3695.3+110.3+659.8+6336+506+340+582.4</f>
        <v>14564</v>
      </c>
    </row>
    <row r="73" spans="1:5" ht="31.5">
      <c r="A73" s="122" t="s">
        <v>405</v>
      </c>
      <c r="B73" s="92" t="s">
        <v>395</v>
      </c>
      <c r="C73" s="118">
        <f>SUM(C74:C80)</f>
        <v>137314</v>
      </c>
      <c r="D73" s="118">
        <f>SUM(D74:D80)</f>
        <v>144002.2</v>
      </c>
      <c r="E73" s="118">
        <f>SUM(E74:E80)</f>
        <v>149476.59999999998</v>
      </c>
    </row>
    <row r="74" spans="1:5" ht="47.25">
      <c r="A74" s="203" t="s">
        <v>652</v>
      </c>
      <c r="B74" s="204" t="s">
        <v>653</v>
      </c>
      <c r="C74" s="197">
        <v>126466.40000000001</v>
      </c>
      <c r="D74" s="197">
        <f>289.3+1031.5+123129.9+4423.3+132.3+605.9+3434.7+0.2</f>
        <v>133047.1</v>
      </c>
      <c r="E74" s="197">
        <f>289.5+1031.5+129929.9+4423.3+132.3+605.9+3434.7</f>
        <v>139847.09999999998</v>
      </c>
    </row>
    <row r="75" spans="1:5" ht="63">
      <c r="A75" s="139" t="s">
        <v>946</v>
      </c>
      <c r="B75" s="134" t="s">
        <v>952</v>
      </c>
      <c r="C75" s="106">
        <v>665</v>
      </c>
      <c r="D75" s="106">
        <v>694.6</v>
      </c>
      <c r="E75" s="106">
        <v>719</v>
      </c>
    </row>
    <row r="76" spans="1:5" ht="78.75">
      <c r="A76" s="139" t="s">
        <v>654</v>
      </c>
      <c r="B76" s="134" t="s">
        <v>655</v>
      </c>
      <c r="C76" s="106">
        <v>0.5</v>
      </c>
      <c r="D76" s="106">
        <v>0.5</v>
      </c>
      <c r="E76" s="106">
        <v>0.5</v>
      </c>
    </row>
    <row r="77" spans="1:5" ht="94.5">
      <c r="A77" s="83" t="s">
        <v>656</v>
      </c>
      <c r="B77" s="134" t="s">
        <v>657</v>
      </c>
      <c r="C77" s="106">
        <v>1271.8</v>
      </c>
      <c r="D77" s="106">
        <v>1350</v>
      </c>
      <c r="E77" s="106">
        <v>0</v>
      </c>
    </row>
    <row r="78" spans="1:5" ht="94.5">
      <c r="A78" s="83" t="s">
        <v>953</v>
      </c>
      <c r="B78" s="134" t="s">
        <v>954</v>
      </c>
      <c r="C78" s="106">
        <v>451.4</v>
      </c>
      <c r="D78" s="106">
        <v>451.4</v>
      </c>
      <c r="E78" s="106">
        <v>451.4</v>
      </c>
    </row>
    <row r="79" spans="1:5" ht="78.75">
      <c r="A79" s="83" t="s">
        <v>658</v>
      </c>
      <c r="B79" s="134" t="s">
        <v>659</v>
      </c>
      <c r="C79" s="106">
        <v>6378.5</v>
      </c>
      <c r="D79" s="106">
        <v>6378.5</v>
      </c>
      <c r="E79" s="106">
        <v>6378.5</v>
      </c>
    </row>
    <row r="80" spans="1:5" ht="47.25">
      <c r="A80" s="20" t="s">
        <v>660</v>
      </c>
      <c r="B80" s="140" t="s">
        <v>661</v>
      </c>
      <c r="C80" s="121">
        <v>2080.4</v>
      </c>
      <c r="D80" s="121">
        <v>2080.1</v>
      </c>
      <c r="E80" s="121">
        <v>2080.1</v>
      </c>
    </row>
    <row r="81" spans="1:5" ht="15.75">
      <c r="A81" s="141" t="s">
        <v>406</v>
      </c>
      <c r="B81" s="92" t="s">
        <v>46</v>
      </c>
      <c r="C81" s="142">
        <f>SUM(C82:C82)</f>
        <v>104.2</v>
      </c>
      <c r="D81" s="135">
        <f>SUM(D82:D82)</f>
        <v>0</v>
      </c>
      <c r="E81" s="135">
        <f>SUM(E82:E82)</f>
        <v>0</v>
      </c>
    </row>
    <row r="82" spans="1:5" ht="51.75" customHeight="1">
      <c r="A82" s="199" t="s">
        <v>1014</v>
      </c>
      <c r="B82" s="79" t="s">
        <v>1013</v>
      </c>
      <c r="C82" s="106">
        <f>104.2</f>
        <v>104.2</v>
      </c>
      <c r="D82" s="106">
        <v>0</v>
      </c>
      <c r="E82" s="106">
        <v>0</v>
      </c>
    </row>
    <row r="83" spans="1:5" ht="15.75">
      <c r="A83" s="122" t="s">
        <v>287</v>
      </c>
      <c r="B83" s="92" t="s">
        <v>288</v>
      </c>
      <c r="C83" s="118">
        <f>C84+C85</f>
        <v>900.0999999999999</v>
      </c>
      <c r="D83" s="118">
        <f>D84</f>
        <v>0</v>
      </c>
      <c r="E83" s="118">
        <f>E84</f>
        <v>0</v>
      </c>
    </row>
    <row r="84" spans="1:5" ht="63">
      <c r="A84" s="201" t="s">
        <v>662</v>
      </c>
      <c r="B84" s="54" t="s">
        <v>663</v>
      </c>
      <c r="C84" s="106">
        <v>849.6999999999999</v>
      </c>
      <c r="D84" s="106">
        <v>0</v>
      </c>
      <c r="E84" s="106">
        <v>0</v>
      </c>
    </row>
    <row r="85" spans="1:5" ht="49.5" customHeight="1">
      <c r="A85" s="198" t="s">
        <v>889</v>
      </c>
      <c r="B85" s="54" t="s">
        <v>888</v>
      </c>
      <c r="C85" s="106">
        <v>50.4</v>
      </c>
      <c r="D85" s="106"/>
      <c r="E85" s="106"/>
    </row>
    <row r="86" spans="1:5" ht="15.75">
      <c r="A86" s="76" t="s">
        <v>47</v>
      </c>
      <c r="B86" s="77"/>
      <c r="C86" s="78">
        <f>C50+C15</f>
        <v>973855.1</v>
      </c>
      <c r="D86" s="78">
        <f>D50+D15</f>
        <v>754011.9</v>
      </c>
      <c r="E86" s="78">
        <f>E50+E15</f>
        <v>528384.3999999999</v>
      </c>
    </row>
    <row r="87" ht="15.75">
      <c r="E87" s="16" t="s">
        <v>601</v>
      </c>
    </row>
    <row r="88" ht="15.75">
      <c r="E88" s="16"/>
    </row>
    <row r="89" spans="3:5" ht="12.75">
      <c r="C89" s="21"/>
      <c r="D89" s="21"/>
      <c r="E89" s="21"/>
    </row>
    <row r="90" spans="3:5" ht="12.75">
      <c r="C90" s="21"/>
      <c r="D90" s="21"/>
      <c r="E90" s="21"/>
    </row>
    <row r="91" spans="3:5" ht="12.75">
      <c r="C91" s="21"/>
      <c r="D91" s="21"/>
      <c r="E91" s="21"/>
    </row>
    <row r="92" spans="3:5" ht="12.75">
      <c r="C92" s="21"/>
      <c r="D92" s="21"/>
      <c r="E92" s="21"/>
    </row>
    <row r="93" spans="3:5" ht="12.75">
      <c r="C93" s="21"/>
      <c r="D93" s="21"/>
      <c r="E93" s="21"/>
    </row>
    <row r="94" spans="3:5" ht="12.75">
      <c r="C94" s="21"/>
      <c r="D94" s="21"/>
      <c r="E94" s="21"/>
    </row>
    <row r="96" spans="3:5" ht="12.75">
      <c r="C96" s="12"/>
      <c r="D96" s="12"/>
      <c r="E96" s="12"/>
    </row>
    <row r="100" spans="3:5" ht="12.75">
      <c r="C100" s="12"/>
      <c r="D100" s="12"/>
      <c r="E100" s="12"/>
    </row>
  </sheetData>
  <sheetProtection selectLockedCells="1" selectUnlockedCells="1"/>
  <mergeCells count="10">
    <mergeCell ref="B7:E7"/>
    <mergeCell ref="B8:E8"/>
    <mergeCell ref="A9:E9"/>
    <mergeCell ref="C12:E12"/>
    <mergeCell ref="B1:E1"/>
    <mergeCell ref="B2:E2"/>
    <mergeCell ref="B3:E3"/>
    <mergeCell ref="B4:E4"/>
    <mergeCell ref="B5:E5"/>
    <mergeCell ref="B6:E6"/>
  </mergeCells>
  <printOptions horizontalCentered="1"/>
  <pageMargins left="0.984251968503937" right="0.5905511811023623" top="0.7874015748031497" bottom="0.7874015748031497" header="0.5118110236220472" footer="0.5118110236220472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2"/>
  <sheetViews>
    <sheetView zoomScaleSheetLayoutView="75" workbookViewId="0" topLeftCell="A39">
      <selection activeCell="H10" sqref="H10"/>
    </sheetView>
  </sheetViews>
  <sheetFormatPr defaultColWidth="9.00390625" defaultRowHeight="12.75"/>
  <cols>
    <col min="1" max="1" width="39.625" style="1" customWidth="1"/>
    <col min="2" max="2" width="8.125" style="1" customWidth="1"/>
    <col min="3" max="3" width="8.00390625" style="1" customWidth="1"/>
    <col min="4" max="4" width="15.00390625" style="1" customWidth="1"/>
    <col min="5" max="5" width="14.125" style="1" customWidth="1"/>
    <col min="6" max="6" width="14.625" style="1" customWidth="1"/>
    <col min="7" max="16384" width="9.00390625" style="1" customWidth="1"/>
  </cols>
  <sheetData>
    <row r="1" spans="1:6" ht="15.75">
      <c r="A1" s="209" t="s">
        <v>103</v>
      </c>
      <c r="B1" s="209"/>
      <c r="C1" s="209"/>
      <c r="D1" s="209"/>
      <c r="E1" s="209"/>
      <c r="F1" s="209"/>
    </row>
    <row r="2" spans="1:6" ht="15.75">
      <c r="A2" s="214" t="s">
        <v>31</v>
      </c>
      <c r="B2" s="214"/>
      <c r="C2" s="214"/>
      <c r="D2" s="214"/>
      <c r="E2" s="214"/>
      <c r="F2" s="214"/>
    </row>
    <row r="3" spans="1:6" ht="15.75">
      <c r="A3" s="209" t="s">
        <v>622</v>
      </c>
      <c r="B3" s="209"/>
      <c r="C3" s="209"/>
      <c r="D3" s="209"/>
      <c r="E3" s="209"/>
      <c r="F3" s="209"/>
    </row>
    <row r="4" spans="1:6" ht="15.75">
      <c r="A4" s="209" t="s">
        <v>1032</v>
      </c>
      <c r="B4" s="209"/>
      <c r="C4" s="209"/>
      <c r="D4" s="209"/>
      <c r="E4" s="209"/>
      <c r="F4" s="209"/>
    </row>
    <row r="5" spans="1:6" ht="15.75">
      <c r="A5" s="209" t="s">
        <v>995</v>
      </c>
      <c r="B5" s="209"/>
      <c r="C5" s="209"/>
      <c r="D5" s="209"/>
      <c r="E5" s="209"/>
      <c r="F5" s="209"/>
    </row>
    <row r="6" spans="1:6" ht="15.75">
      <c r="A6" s="214" t="s">
        <v>31</v>
      </c>
      <c r="B6" s="214"/>
      <c r="C6" s="214"/>
      <c r="D6" s="214"/>
      <c r="E6" s="214"/>
      <c r="F6" s="214"/>
    </row>
    <row r="7" spans="1:6" ht="15.75">
      <c r="A7" s="209" t="s">
        <v>622</v>
      </c>
      <c r="B7" s="209"/>
      <c r="C7" s="209"/>
      <c r="D7" s="209"/>
      <c r="E7" s="209"/>
      <c r="F7" s="209"/>
    </row>
    <row r="8" spans="1:6" ht="15.75">
      <c r="A8" s="209" t="s">
        <v>988</v>
      </c>
      <c r="B8" s="209"/>
      <c r="C8" s="209"/>
      <c r="D8" s="209"/>
      <c r="E8" s="209"/>
      <c r="F8" s="209"/>
    </row>
    <row r="9" spans="1:6" ht="11.25" customHeight="1">
      <c r="A9" s="217"/>
      <c r="B9" s="217"/>
      <c r="C9" s="217"/>
      <c r="D9" s="217"/>
      <c r="E9" s="217"/>
      <c r="F9" s="217"/>
    </row>
    <row r="10" spans="1:6" ht="31.5" customHeight="1">
      <c r="A10" s="218" t="s">
        <v>667</v>
      </c>
      <c r="B10" s="218"/>
      <c r="C10" s="218"/>
      <c r="D10" s="218"/>
      <c r="E10" s="218"/>
      <c r="F10" s="218"/>
    </row>
    <row r="11" spans="1:6" ht="11.25" customHeight="1">
      <c r="A11" s="22"/>
      <c r="B11" s="22"/>
      <c r="C11" s="22"/>
      <c r="D11" s="22"/>
      <c r="E11" s="22"/>
      <c r="F11" s="22"/>
    </row>
    <row r="12" spans="1:6" ht="14.25" customHeight="1">
      <c r="A12" s="219" t="s">
        <v>48</v>
      </c>
      <c r="B12" s="219"/>
      <c r="C12" s="219"/>
      <c r="D12" s="209"/>
      <c r="E12" s="209"/>
      <c r="F12" s="209"/>
    </row>
    <row r="13" spans="1:6" ht="15.75">
      <c r="A13" s="226" t="s">
        <v>49</v>
      </c>
      <c r="B13" s="222" t="s">
        <v>381</v>
      </c>
      <c r="C13" s="224" t="s">
        <v>382</v>
      </c>
      <c r="D13" s="228" t="s">
        <v>5</v>
      </c>
      <c r="E13" s="228"/>
      <c r="F13" s="228"/>
    </row>
    <row r="14" spans="1:6" ht="15.75">
      <c r="A14" s="227"/>
      <c r="B14" s="223"/>
      <c r="C14" s="225"/>
      <c r="D14" s="46" t="s">
        <v>514</v>
      </c>
      <c r="E14" s="46" t="s">
        <v>552</v>
      </c>
      <c r="F14" s="46" t="s">
        <v>664</v>
      </c>
    </row>
    <row r="15" spans="1:6" ht="15.75">
      <c r="A15" s="23">
        <v>1</v>
      </c>
      <c r="B15" s="6">
        <v>2</v>
      </c>
      <c r="C15" s="23">
        <v>3</v>
      </c>
      <c r="D15" s="28">
        <v>4</v>
      </c>
      <c r="E15" s="28">
        <v>5</v>
      </c>
      <c r="F15" s="28">
        <v>6</v>
      </c>
    </row>
    <row r="16" spans="1:6" ht="15.75">
      <c r="A16" s="24" t="s">
        <v>50</v>
      </c>
      <c r="B16" s="32" t="s">
        <v>51</v>
      </c>
      <c r="C16" s="65"/>
      <c r="D16" s="68">
        <f>SUM(D17:D24)</f>
        <v>135206.8</v>
      </c>
      <c r="E16" s="68">
        <f>SUM(E17:E24)</f>
        <v>137783.7</v>
      </c>
      <c r="F16" s="68">
        <f>SUM(F17:F24)</f>
        <v>130494.09999999999</v>
      </c>
    </row>
    <row r="17" spans="1:6" ht="63">
      <c r="A17" s="25" t="s">
        <v>354</v>
      </c>
      <c r="B17" s="42" t="s">
        <v>51</v>
      </c>
      <c r="C17" s="64" t="s">
        <v>52</v>
      </c>
      <c r="D17" s="66">
        <f>'Приложение 5,'!G253</f>
        <v>2160</v>
      </c>
      <c r="E17" s="66">
        <f>'Приложение 5,'!H253</f>
        <v>2160</v>
      </c>
      <c r="F17" s="66">
        <f>'Приложение 5,'!I253</f>
        <v>2160</v>
      </c>
    </row>
    <row r="18" spans="1:6" ht="78.75">
      <c r="A18" s="25" t="s">
        <v>53</v>
      </c>
      <c r="B18" s="42" t="s">
        <v>51</v>
      </c>
      <c r="C18" s="64" t="s">
        <v>54</v>
      </c>
      <c r="D18" s="66">
        <f>'Приложение 5,'!G216</f>
        <v>2097</v>
      </c>
      <c r="E18" s="66">
        <f>'Приложение 5,'!H216</f>
        <v>2040</v>
      </c>
      <c r="F18" s="66">
        <f>'Приложение 5,'!I216</f>
        <v>1890</v>
      </c>
    </row>
    <row r="19" spans="1:6" ht="94.5">
      <c r="A19" s="25" t="s">
        <v>55</v>
      </c>
      <c r="B19" s="42" t="s">
        <v>51</v>
      </c>
      <c r="C19" s="64" t="s">
        <v>56</v>
      </c>
      <c r="D19" s="66">
        <f>'Приложение 5,'!G261+'Приложение 5,'!G839</f>
        <v>74575.09999999999</v>
      </c>
      <c r="E19" s="66">
        <f>'Приложение 5,'!H261+'Приложение 5,'!H839</f>
        <v>78216.1</v>
      </c>
      <c r="F19" s="66">
        <f>'Приложение 5,'!I261+'Приложение 5,'!I839</f>
        <v>72253.3</v>
      </c>
    </row>
    <row r="20" spans="1:6" ht="15.75">
      <c r="A20" s="37" t="s">
        <v>280</v>
      </c>
      <c r="B20" s="42" t="s">
        <v>51</v>
      </c>
      <c r="C20" s="64" t="s">
        <v>69</v>
      </c>
      <c r="D20" s="66">
        <f>'Приложение 5,'!G291</f>
        <v>0.5</v>
      </c>
      <c r="E20" s="66">
        <f>'Приложение 5,'!H291</f>
        <v>0.5</v>
      </c>
      <c r="F20" s="66">
        <f>'Приложение 5,'!I291</f>
        <v>0.5</v>
      </c>
    </row>
    <row r="21" spans="1:6" ht="71.25" customHeight="1">
      <c r="A21" s="25" t="s">
        <v>57</v>
      </c>
      <c r="B21" s="42" t="s">
        <v>51</v>
      </c>
      <c r="C21" s="64" t="s">
        <v>58</v>
      </c>
      <c r="D21" s="66">
        <f>'Приложение 5,'!G962+'Приложение 5,'!G235</f>
        <v>12570.7</v>
      </c>
      <c r="E21" s="66">
        <f>'Приложение 5,'!H962+'Приложение 5,'!H235</f>
        <v>12590.7</v>
      </c>
      <c r="F21" s="66">
        <f>'Приложение 5,'!I962+'Приложение 5,'!I235</f>
        <v>11390.7</v>
      </c>
    </row>
    <row r="22" spans="1:6" ht="31.5" hidden="1">
      <c r="A22" s="25" t="s">
        <v>609</v>
      </c>
      <c r="B22" s="42" t="s">
        <v>51</v>
      </c>
      <c r="C22" s="64" t="s">
        <v>59</v>
      </c>
      <c r="D22" s="66">
        <f>'Приложение 5,'!G295</f>
        <v>0</v>
      </c>
      <c r="E22" s="66">
        <f>'Приложение 5,'!H295</f>
        <v>0</v>
      </c>
      <c r="F22" s="66">
        <f>'Приложение 5,'!I295</f>
        <v>0</v>
      </c>
    </row>
    <row r="23" spans="1:6" ht="15.75">
      <c r="A23" s="25" t="s">
        <v>60</v>
      </c>
      <c r="B23" s="42" t="s">
        <v>51</v>
      </c>
      <c r="C23" s="64" t="s">
        <v>61</v>
      </c>
      <c r="D23" s="66">
        <f>'Приложение 5,'!G299</f>
        <v>74.79999999999998</v>
      </c>
      <c r="E23" s="66">
        <f>'Приложение 5,'!H299</f>
        <v>425.4</v>
      </c>
      <c r="F23" s="66">
        <f>'Приложение 5,'!I299</f>
        <v>425.4</v>
      </c>
    </row>
    <row r="24" spans="1:6" ht="31.5">
      <c r="A24" s="25" t="s">
        <v>62</v>
      </c>
      <c r="B24" s="42" t="s">
        <v>51</v>
      </c>
      <c r="C24" s="64" t="s">
        <v>63</v>
      </c>
      <c r="D24" s="66">
        <f>'Приложение 5,'!G303+'Приложение 5,'!G849</f>
        <v>43728.7</v>
      </c>
      <c r="E24" s="66">
        <f>'Приложение 5,'!H303+'Приложение 5,'!H849</f>
        <v>42351</v>
      </c>
      <c r="F24" s="66">
        <f>'Приложение 5,'!I303+'Приложение 5,'!I849</f>
        <v>42374.2</v>
      </c>
    </row>
    <row r="25" spans="1:6" ht="15.75">
      <c r="A25" s="24" t="s">
        <v>838</v>
      </c>
      <c r="B25" s="32" t="s">
        <v>52</v>
      </c>
      <c r="C25" s="65"/>
      <c r="D25" s="68">
        <f>D26</f>
        <v>665</v>
      </c>
      <c r="E25" s="68">
        <f>E26</f>
        <v>694.6</v>
      </c>
      <c r="F25" s="68">
        <f>F26</f>
        <v>719</v>
      </c>
    </row>
    <row r="26" spans="1:6" ht="31.5">
      <c r="A26" s="25" t="s">
        <v>839</v>
      </c>
      <c r="B26" s="42" t="s">
        <v>52</v>
      </c>
      <c r="C26" s="64" t="s">
        <v>54</v>
      </c>
      <c r="D26" s="66">
        <f>'Приложение 5,'!G373+'Приложение 5,'!G861</f>
        <v>665</v>
      </c>
      <c r="E26" s="66">
        <f>'Приложение 5,'!H373+'Приложение 5,'!H861</f>
        <v>694.6</v>
      </c>
      <c r="F26" s="66">
        <f>'Приложение 5,'!I373+'Приложение 5,'!I861</f>
        <v>719</v>
      </c>
    </row>
    <row r="27" spans="1:6" ht="31.5">
      <c r="A27" s="24" t="s">
        <v>64</v>
      </c>
      <c r="B27" s="32" t="s">
        <v>54</v>
      </c>
      <c r="C27" s="65"/>
      <c r="D27" s="58">
        <f>D28+D30+D29</f>
        <v>8319.6</v>
      </c>
      <c r="E27" s="58">
        <f>E28+E30+E29</f>
        <v>6166.900000000001</v>
      </c>
      <c r="F27" s="58">
        <f>F28+F30+F29</f>
        <v>6166.900000000001</v>
      </c>
    </row>
    <row r="28" spans="1:6" ht="15.75">
      <c r="A28" s="25" t="s">
        <v>506</v>
      </c>
      <c r="B28" s="42" t="s">
        <v>54</v>
      </c>
      <c r="C28" s="64" t="s">
        <v>65</v>
      </c>
      <c r="D28" s="67">
        <f>'Приложение 5,'!G380</f>
        <v>575</v>
      </c>
      <c r="E28" s="67">
        <f>'Приложение 5,'!H380</f>
        <v>575</v>
      </c>
      <c r="F28" s="67">
        <f>'Приложение 5,'!I380</f>
        <v>575</v>
      </c>
    </row>
    <row r="29" spans="1:6" ht="63">
      <c r="A29" s="25" t="s">
        <v>507</v>
      </c>
      <c r="B29" s="42" t="s">
        <v>54</v>
      </c>
      <c r="C29" s="64" t="s">
        <v>86</v>
      </c>
      <c r="D29" s="67">
        <f>'Приложение 5,'!G386+'Приложение 5,'!G868</f>
        <v>7546.8</v>
      </c>
      <c r="E29" s="67">
        <f>'Приложение 5,'!H386+'Приложение 5,'!H868</f>
        <v>5395.8</v>
      </c>
      <c r="F29" s="67">
        <f>'Приложение 5,'!I386+'Приложение 5,'!I868</f>
        <v>5395.8</v>
      </c>
    </row>
    <row r="30" spans="1:6" ht="47.25">
      <c r="A30" s="25" t="s">
        <v>66</v>
      </c>
      <c r="B30" s="42" t="s">
        <v>54</v>
      </c>
      <c r="C30" s="64" t="s">
        <v>67</v>
      </c>
      <c r="D30" s="67">
        <f>'Приложение 5,'!G414+'Приложение 5,'!G18+'Приложение 5,'!G878</f>
        <v>197.8</v>
      </c>
      <c r="E30" s="67">
        <f>'Приложение 5,'!H414+'Приложение 5,'!H18+'Приложение 5,'!H878</f>
        <v>196.1</v>
      </c>
      <c r="F30" s="67">
        <f>'Приложение 5,'!I414+'Приложение 5,'!I18+'Приложение 5,'!I878</f>
        <v>196.1</v>
      </c>
    </row>
    <row r="31" spans="1:6" ht="20.25" customHeight="1">
      <c r="A31" s="24" t="s">
        <v>68</v>
      </c>
      <c r="B31" s="32" t="s">
        <v>56</v>
      </c>
      <c r="C31" s="65"/>
      <c r="D31" s="62">
        <f>SUM(D33:D35)</f>
        <v>68538.70000000001</v>
      </c>
      <c r="E31" s="62">
        <f>SUM(E33:E35)</f>
        <v>20997.8</v>
      </c>
      <c r="F31" s="62">
        <f>SUM(F33:F35)</f>
        <v>21357.3</v>
      </c>
    </row>
    <row r="32" spans="1:6" ht="20.25" customHeight="1" hidden="1">
      <c r="A32" s="25" t="s">
        <v>668</v>
      </c>
      <c r="B32" s="42" t="s">
        <v>56</v>
      </c>
      <c r="C32" s="64" t="s">
        <v>69</v>
      </c>
      <c r="D32" s="67"/>
      <c r="E32" s="67"/>
      <c r="F32" s="67"/>
    </row>
    <row r="33" spans="1:6" ht="15.75">
      <c r="A33" s="7" t="s">
        <v>197</v>
      </c>
      <c r="B33" s="42" t="s">
        <v>56</v>
      </c>
      <c r="C33" s="64" t="s">
        <v>81</v>
      </c>
      <c r="D33" s="67">
        <f>'Приложение 5,'!G428</f>
        <v>4157.1</v>
      </c>
      <c r="E33" s="67">
        <f>'Приложение 5,'!H428</f>
        <v>4579.400000000001</v>
      </c>
      <c r="F33" s="67">
        <f>'Приложение 5,'!I428</f>
        <v>4074.9000000000005</v>
      </c>
    </row>
    <row r="34" spans="1:6" ht="31.5">
      <c r="A34" s="7" t="s">
        <v>70</v>
      </c>
      <c r="B34" s="42" t="s">
        <v>56</v>
      </c>
      <c r="C34" s="64" t="s">
        <v>65</v>
      </c>
      <c r="D34" s="67">
        <f>'Приложение 5,'!G436+'Приложение 5,'!G885</f>
        <v>63554</v>
      </c>
      <c r="E34" s="67">
        <f>'Приложение 5,'!H436+'Приложение 5,'!H885</f>
        <v>15725.8</v>
      </c>
      <c r="F34" s="67">
        <f>'Приложение 5,'!I436+'Приложение 5,'!I885</f>
        <v>16604.8</v>
      </c>
    </row>
    <row r="35" spans="1:6" ht="31.5">
      <c r="A35" s="8" t="s">
        <v>71</v>
      </c>
      <c r="B35" s="42" t="s">
        <v>56</v>
      </c>
      <c r="C35" s="64" t="s">
        <v>72</v>
      </c>
      <c r="D35" s="67">
        <f>'Приложение 5,'!G444</f>
        <v>827.6</v>
      </c>
      <c r="E35" s="67">
        <f>'Приложение 5,'!H444</f>
        <v>692.6</v>
      </c>
      <c r="F35" s="67">
        <f>'Приложение 5,'!I444</f>
        <v>677.6</v>
      </c>
    </row>
    <row r="36" spans="1:6" ht="19.5" customHeight="1">
      <c r="A36" s="9" t="s">
        <v>73</v>
      </c>
      <c r="B36" s="32" t="s">
        <v>69</v>
      </c>
      <c r="C36" s="64"/>
      <c r="D36" s="62">
        <f>D37+D38+D39+D40</f>
        <v>350818.2</v>
      </c>
      <c r="E36" s="62">
        <f>E37+E38+E39+E40</f>
        <v>241146.1</v>
      </c>
      <c r="F36" s="62">
        <f>F37+F38+F39+F40</f>
        <v>15867</v>
      </c>
    </row>
    <row r="37" spans="1:6" ht="15.75">
      <c r="A37" s="7" t="s">
        <v>74</v>
      </c>
      <c r="B37" s="42" t="s">
        <v>69</v>
      </c>
      <c r="C37" s="64" t="s">
        <v>51</v>
      </c>
      <c r="D37" s="67">
        <f>'Приложение 5,'!G463+'Приложение 5,'!G897</f>
        <v>245549.2</v>
      </c>
      <c r="E37" s="67">
        <f>'Приложение 5,'!H463+'Приложение 5,'!H897</f>
        <v>205556.5</v>
      </c>
      <c r="F37" s="67">
        <f>'Приложение 5,'!I463+'Приложение 5,'!I897</f>
        <v>2520</v>
      </c>
    </row>
    <row r="38" spans="1:6" ht="15.75">
      <c r="A38" s="25" t="s">
        <v>208</v>
      </c>
      <c r="B38" s="42" t="s">
        <v>69</v>
      </c>
      <c r="C38" s="64" t="s">
        <v>52</v>
      </c>
      <c r="D38" s="67">
        <f>'Приложение 5,'!G483+'Приложение 5,'!G907</f>
        <v>78558.90000000001</v>
      </c>
      <c r="E38" s="67">
        <f>'Приложение 5,'!H483+'Приложение 5,'!H907</f>
        <v>22274.7</v>
      </c>
      <c r="F38" s="67">
        <f>'Приложение 5,'!I483+'Приложение 5,'!I907</f>
        <v>2191</v>
      </c>
    </row>
    <row r="39" spans="1:6" ht="15.75">
      <c r="A39" s="25" t="s">
        <v>397</v>
      </c>
      <c r="B39" s="42" t="s">
        <v>69</v>
      </c>
      <c r="C39" s="64" t="s">
        <v>54</v>
      </c>
      <c r="D39" s="67">
        <f>'Приложение 5,'!G530+'Приложение 5,'!G912</f>
        <v>26339.300000000003</v>
      </c>
      <c r="E39" s="67">
        <f>'Приложение 5,'!H530+'Приложение 5,'!H912</f>
        <v>13144.900000000001</v>
      </c>
      <c r="F39" s="67">
        <f>'Приложение 5,'!I530+'Приложение 5,'!I912</f>
        <v>10986</v>
      </c>
    </row>
    <row r="40" spans="1:6" ht="31.5">
      <c r="A40" s="40" t="s">
        <v>887</v>
      </c>
      <c r="B40" s="42" t="s">
        <v>69</v>
      </c>
      <c r="C40" s="64" t="s">
        <v>69</v>
      </c>
      <c r="D40" s="67">
        <f>'Приложение 5,'!G583+'Приложение 5,'!G948</f>
        <v>370.79999999999995</v>
      </c>
      <c r="E40" s="67">
        <f>'Приложение 5,'!H583+'Приложение 5,'!H948</f>
        <v>170</v>
      </c>
      <c r="F40" s="67">
        <f>'Приложение 5,'!I583+'Приложение 5,'!I948</f>
        <v>170</v>
      </c>
    </row>
    <row r="41" spans="1:6" ht="17.25" customHeight="1">
      <c r="A41" s="24" t="s">
        <v>75</v>
      </c>
      <c r="B41" s="32" t="s">
        <v>58</v>
      </c>
      <c r="C41" s="65"/>
      <c r="D41" s="62">
        <f>D42</f>
        <v>1865.9</v>
      </c>
      <c r="E41" s="62">
        <f>E42</f>
        <v>1865.9</v>
      </c>
      <c r="F41" s="62">
        <f>F42</f>
        <v>1865.9</v>
      </c>
    </row>
    <row r="42" spans="1:6" ht="31.5">
      <c r="A42" s="25" t="s">
        <v>232</v>
      </c>
      <c r="B42" s="42" t="s">
        <v>58</v>
      </c>
      <c r="C42" s="64" t="s">
        <v>69</v>
      </c>
      <c r="D42" s="67">
        <f>'Приложение 5,'!G589</f>
        <v>1865.9</v>
      </c>
      <c r="E42" s="67">
        <f>'Приложение 5,'!H589</f>
        <v>1865.9</v>
      </c>
      <c r="F42" s="67">
        <f>'Приложение 5,'!I589</f>
        <v>1865.9</v>
      </c>
    </row>
    <row r="43" spans="1:6" ht="15.75">
      <c r="A43" s="110" t="s">
        <v>76</v>
      </c>
      <c r="B43" s="111" t="s">
        <v>59</v>
      </c>
      <c r="C43" s="112"/>
      <c r="D43" s="113">
        <f>SUM(D44:D49)</f>
        <v>248907.7</v>
      </c>
      <c r="E43" s="113">
        <f>SUM(E44:E49)</f>
        <v>251557.49999999997</v>
      </c>
      <c r="F43" s="62">
        <f>SUM(F44:F49)</f>
        <v>254826.19999999998</v>
      </c>
    </row>
    <row r="44" spans="1:6" ht="15.75">
      <c r="A44" s="55" t="s">
        <v>77</v>
      </c>
      <c r="B44" s="43" t="s">
        <v>59</v>
      </c>
      <c r="C44" s="43" t="s">
        <v>51</v>
      </c>
      <c r="D44" s="67">
        <f>'Приложение 5,'!G40</f>
        <v>52264</v>
      </c>
      <c r="E44" s="67">
        <f>'Приложение 5,'!H40</f>
        <v>54373.399999999994</v>
      </c>
      <c r="F44" s="67">
        <f>'Приложение 5,'!I40</f>
        <v>56355.8</v>
      </c>
    </row>
    <row r="45" spans="1:6" ht="15.75">
      <c r="A45" s="55" t="s">
        <v>78</v>
      </c>
      <c r="B45" s="43" t="s">
        <v>59</v>
      </c>
      <c r="C45" s="43" t="s">
        <v>52</v>
      </c>
      <c r="D45" s="67">
        <f>'Приложение 5,'!G52+'Приложение 5,'!G607</f>
        <v>139579.5</v>
      </c>
      <c r="E45" s="67">
        <f>'Приложение 5,'!H52+'Приложение 5,'!H607</f>
        <v>147470.19999999998</v>
      </c>
      <c r="F45" s="67">
        <f>'Приложение 5,'!I52+'Приложение 5,'!I607</f>
        <v>148756.5</v>
      </c>
    </row>
    <row r="46" spans="1:6" ht="15.75">
      <c r="A46" s="40" t="s">
        <v>347</v>
      </c>
      <c r="B46" s="43" t="s">
        <v>59</v>
      </c>
      <c r="C46" s="43" t="s">
        <v>54</v>
      </c>
      <c r="D46" s="67">
        <f>'Приложение 5,'!G87+'Приложение 5,'!G612</f>
        <v>28912.5</v>
      </c>
      <c r="E46" s="67">
        <f>'Приложение 5,'!H87+'Приложение 5,'!H612</f>
        <v>24117.9</v>
      </c>
      <c r="F46" s="67">
        <f>'Приложение 5,'!I87+'Приложение 5,'!I612</f>
        <v>24117.9</v>
      </c>
    </row>
    <row r="47" spans="1:6" ht="47.25">
      <c r="A47" s="40" t="s">
        <v>520</v>
      </c>
      <c r="B47" s="43" t="s">
        <v>59</v>
      </c>
      <c r="C47" s="43" t="s">
        <v>69</v>
      </c>
      <c r="D47" s="67">
        <f>'Приложение 5,'!G245+'Приложение 5,'!G625+'Приложение 5,'!G227+'Приложение 5,'!G974+'Приложение 5,'!G954+'Приложение 5,'!G102</f>
        <v>258.6</v>
      </c>
      <c r="E47" s="67">
        <f>'Приложение 5,'!H245+'Приложение 5,'!H625+'Приложение 5,'!H227+'Приложение 5,'!H974+'Приложение 5,'!H954+'Приложение 5,'!H102</f>
        <v>230</v>
      </c>
      <c r="F47" s="67">
        <f>'Приложение 5,'!I245+'Приложение 5,'!I625+'Приложение 5,'!I227+'Приложение 5,'!I974+'Приложение 5,'!I954+'Приложение 5,'!I102</f>
        <v>230</v>
      </c>
    </row>
    <row r="48" spans="1:6" ht="17.25" customHeight="1">
      <c r="A48" s="55" t="s">
        <v>118</v>
      </c>
      <c r="B48" s="43" t="s">
        <v>59</v>
      </c>
      <c r="C48" s="43" t="s">
        <v>59</v>
      </c>
      <c r="D48" s="67">
        <f>'Приложение 5,'!G635</f>
        <v>2816.5999999999995</v>
      </c>
      <c r="E48" s="67">
        <f>'Приложение 5,'!H635</f>
        <v>2816.6</v>
      </c>
      <c r="F48" s="67">
        <f>'Приложение 5,'!I635</f>
        <v>2816.6</v>
      </c>
    </row>
    <row r="49" spans="1:6" ht="31.5">
      <c r="A49" s="55" t="s">
        <v>79</v>
      </c>
      <c r="B49" s="43" t="s">
        <v>59</v>
      </c>
      <c r="C49" s="43" t="s">
        <v>65</v>
      </c>
      <c r="D49" s="67">
        <f>'Приложение 5,'!G108+'Приложение 5,'!G663</f>
        <v>25076.5</v>
      </c>
      <c r="E49" s="67">
        <f>'Приложение 5,'!H108+'Приложение 5,'!H663</f>
        <v>22549.399999999998</v>
      </c>
      <c r="F49" s="67">
        <f>'Приложение 5,'!I108+'Приложение 5,'!I663</f>
        <v>22549.399999999998</v>
      </c>
    </row>
    <row r="50" spans="1:6" ht="18" customHeight="1">
      <c r="A50" s="117" t="s">
        <v>80</v>
      </c>
      <c r="B50" s="46" t="s">
        <v>81</v>
      </c>
      <c r="C50" s="46"/>
      <c r="D50" s="62">
        <f>D51+D52</f>
        <v>85017.5</v>
      </c>
      <c r="E50" s="62">
        <f>E51+E52</f>
        <v>59972.100000000006</v>
      </c>
      <c r="F50" s="62">
        <f>F51+F52</f>
        <v>60090.7</v>
      </c>
    </row>
    <row r="51" spans="1:6" ht="15.75">
      <c r="A51" s="55" t="s">
        <v>82</v>
      </c>
      <c r="B51" s="43" t="s">
        <v>81</v>
      </c>
      <c r="C51" s="43" t="s">
        <v>51</v>
      </c>
      <c r="D51" s="67">
        <f>'Приложение 5,'!G671</f>
        <v>85017.5</v>
      </c>
      <c r="E51" s="67">
        <f>'Приложение 5,'!H671</f>
        <v>59972.100000000006</v>
      </c>
      <c r="F51" s="67">
        <f>'Приложение 5,'!I671</f>
        <v>60090.7</v>
      </c>
    </row>
    <row r="52" spans="1:6" ht="31.5" hidden="1">
      <c r="A52" s="40" t="s">
        <v>522</v>
      </c>
      <c r="B52" s="43" t="s">
        <v>81</v>
      </c>
      <c r="C52" s="43" t="s">
        <v>56</v>
      </c>
      <c r="D52" s="67">
        <f>'Приложение 5,'!G736</f>
        <v>0</v>
      </c>
      <c r="E52" s="67">
        <f>'Приложение 5,'!H736</f>
        <v>0</v>
      </c>
      <c r="F52" s="67">
        <f>'Приложение 5,'!I736</f>
        <v>0</v>
      </c>
    </row>
    <row r="53" spans="1:6" ht="17.25" customHeight="1">
      <c r="A53" s="72" t="s">
        <v>83</v>
      </c>
      <c r="B53" s="114" t="s">
        <v>65</v>
      </c>
      <c r="C53" s="115"/>
      <c r="D53" s="116">
        <f>SUM(D54:D54)</f>
        <v>148.8</v>
      </c>
      <c r="E53" s="116">
        <f>SUM(E54:E54)</f>
        <v>132.3</v>
      </c>
      <c r="F53" s="62">
        <f>SUM(F54:F54)</f>
        <v>132.3</v>
      </c>
    </row>
    <row r="54" spans="1:6" ht="15.75" customHeight="1">
      <c r="A54" s="8" t="s">
        <v>84</v>
      </c>
      <c r="B54" s="42" t="s">
        <v>65</v>
      </c>
      <c r="C54" s="64" t="s">
        <v>59</v>
      </c>
      <c r="D54" s="67">
        <f>'Приложение 5,'!G742</f>
        <v>148.8</v>
      </c>
      <c r="E54" s="67">
        <f>'Приложение 5,'!H742</f>
        <v>132.3</v>
      </c>
      <c r="F54" s="67">
        <f>'Приложение 5,'!I742</f>
        <v>132.3</v>
      </c>
    </row>
    <row r="55" spans="1:6" s="26" customFormat="1" ht="15.75">
      <c r="A55" s="24" t="s">
        <v>85</v>
      </c>
      <c r="B55" s="32" t="s">
        <v>86</v>
      </c>
      <c r="C55" s="65"/>
      <c r="D55" s="58">
        <f>SUM(D56:D58)</f>
        <v>13663.5</v>
      </c>
      <c r="E55" s="58">
        <f>SUM(E56:E58)</f>
        <v>15750.899999999998</v>
      </c>
      <c r="F55" s="58">
        <f>SUM(F56:F58)</f>
        <v>10075.399999999998</v>
      </c>
    </row>
    <row r="56" spans="1:6" s="26" customFormat="1" ht="15.75">
      <c r="A56" s="25" t="s">
        <v>87</v>
      </c>
      <c r="B56" s="42" t="s">
        <v>86</v>
      </c>
      <c r="C56" s="64" t="s">
        <v>51</v>
      </c>
      <c r="D56" s="67">
        <f>'Приложение 5,'!G748</f>
        <v>3500</v>
      </c>
      <c r="E56" s="67">
        <f>'Приложение 5,'!H748</f>
        <v>3500</v>
      </c>
      <c r="F56" s="67">
        <f>'Приложение 5,'!I748</f>
        <v>3500</v>
      </c>
    </row>
    <row r="57" spans="1:6" ht="15.75">
      <c r="A57" s="25" t="s">
        <v>88</v>
      </c>
      <c r="B57" s="42" t="s">
        <v>86</v>
      </c>
      <c r="C57" s="64" t="s">
        <v>54</v>
      </c>
      <c r="D57" s="67">
        <f>'Приложение 5,'!G161+'Приложение 5,'!G754</f>
        <v>10076.2</v>
      </c>
      <c r="E57" s="67">
        <f>'Приложение 5,'!H161+'Приложение 5,'!H754</f>
        <v>12163.599999999999</v>
      </c>
      <c r="F57" s="67">
        <f>'Приложение 5,'!I161+'Приложение 5,'!I754</f>
        <v>6488.099999999999</v>
      </c>
    </row>
    <row r="58" spans="1:6" ht="15.75">
      <c r="A58" s="25" t="s">
        <v>89</v>
      </c>
      <c r="B58" s="42" t="s">
        <v>86</v>
      </c>
      <c r="C58" s="64" t="s">
        <v>56</v>
      </c>
      <c r="D58" s="67">
        <f>'Приложение 5,'!G190</f>
        <v>87.3</v>
      </c>
      <c r="E58" s="67">
        <f>'Приложение 5,'!H190</f>
        <v>87.3</v>
      </c>
      <c r="F58" s="67">
        <f>'Приложение 5,'!I190</f>
        <v>87.3</v>
      </c>
    </row>
    <row r="59" spans="1:6" ht="15.75">
      <c r="A59" s="24" t="s">
        <v>90</v>
      </c>
      <c r="B59" s="32" t="s">
        <v>61</v>
      </c>
      <c r="C59" s="65"/>
      <c r="D59" s="62">
        <f>D60+D61</f>
        <v>80982.00000000001</v>
      </c>
      <c r="E59" s="62">
        <f>E60+E61</f>
        <v>8828.699999999999</v>
      </c>
      <c r="F59" s="62">
        <f>F60+F61</f>
        <v>8828.699999999999</v>
      </c>
    </row>
    <row r="60" spans="1:6" ht="15.75">
      <c r="A60" s="25" t="s">
        <v>91</v>
      </c>
      <c r="B60" s="42" t="s">
        <v>61</v>
      </c>
      <c r="C60" s="64" t="s">
        <v>52</v>
      </c>
      <c r="D60" s="67">
        <f>'Приложение 5,'!G804+'Приложение 5,'!G199</f>
        <v>80343.00000000001</v>
      </c>
      <c r="E60" s="67">
        <f>'Приложение 5,'!H804</f>
        <v>8362.699999999999</v>
      </c>
      <c r="F60" s="67">
        <f>'Приложение 5,'!I804</f>
        <v>8362.699999999999</v>
      </c>
    </row>
    <row r="61" spans="1:6" ht="15.75">
      <c r="A61" s="40" t="s">
        <v>446</v>
      </c>
      <c r="B61" s="42" t="s">
        <v>61</v>
      </c>
      <c r="C61" s="64" t="s">
        <v>54</v>
      </c>
      <c r="D61" s="67">
        <f>'Приложение 5,'!G205</f>
        <v>639</v>
      </c>
      <c r="E61" s="67">
        <f>'Приложение 5,'!H205</f>
        <v>466</v>
      </c>
      <c r="F61" s="67">
        <f>'Приложение 5,'!I205</f>
        <v>466</v>
      </c>
    </row>
    <row r="62" spans="1:6" ht="15.75">
      <c r="A62" s="72" t="s">
        <v>92</v>
      </c>
      <c r="B62" s="220"/>
      <c r="C62" s="221"/>
      <c r="D62" s="62">
        <f>D16+D27+D31+D36+D41+D43+D50+D53+D55+D59+D25</f>
        <v>994133.7000000002</v>
      </c>
      <c r="E62" s="62">
        <f>E16+E27+E31+E36+E41+E43+E50+E53+E55+E59+E25</f>
        <v>744896.5</v>
      </c>
      <c r="F62" s="62">
        <f>F16+F27+F31+F36+F41+F43+F50+F53+F55+F59+F25</f>
        <v>510423.5</v>
      </c>
    </row>
    <row r="63" spans="1:6" ht="15.75">
      <c r="A63" s="70" t="s">
        <v>119</v>
      </c>
      <c r="B63" s="215"/>
      <c r="C63" s="216"/>
      <c r="D63" s="58"/>
      <c r="E63" s="73">
        <v>9115.4</v>
      </c>
      <c r="F63" s="108">
        <v>17960.9</v>
      </c>
    </row>
    <row r="64" spans="1:6" ht="15.75">
      <c r="A64" s="70" t="s">
        <v>120</v>
      </c>
      <c r="B64" s="215"/>
      <c r="C64" s="216"/>
      <c r="D64" s="58">
        <f>D62+D63</f>
        <v>994133.7000000002</v>
      </c>
      <c r="E64" s="58">
        <f>E62+E63</f>
        <v>754011.9</v>
      </c>
      <c r="F64" s="58">
        <f>F62+F63</f>
        <v>528384.4</v>
      </c>
    </row>
    <row r="65" ht="15.75">
      <c r="F65" s="16" t="s">
        <v>601</v>
      </c>
    </row>
    <row r="66" ht="18" customHeight="1"/>
    <row r="67" ht="19.5" customHeight="1"/>
    <row r="68" ht="32.25" customHeight="1"/>
    <row r="69" ht="31.5" customHeight="1"/>
    <row r="70" ht="30.75" customHeight="1"/>
    <row r="71" ht="48.75" customHeight="1"/>
    <row r="72" ht="83.25" customHeight="1"/>
    <row r="73" ht="34.5" customHeight="1"/>
    <row r="74" ht="31.5" customHeight="1"/>
    <row r="75" ht="47.25" customHeight="1"/>
    <row r="76" ht="79.5" customHeight="1"/>
    <row r="80" ht="78" customHeight="1"/>
    <row r="81" ht="17.25" customHeight="1"/>
    <row r="82" ht="34.5" customHeight="1"/>
    <row r="83" ht="30" customHeight="1"/>
    <row r="84" ht="18.75" customHeight="1"/>
    <row r="85" ht="34.5" customHeight="1"/>
    <row r="86" ht="15.75" customHeight="1"/>
    <row r="89" ht="31.5" customHeight="1"/>
    <row r="90" ht="30.75" customHeight="1"/>
    <row r="91" ht="35.25" customHeight="1"/>
    <row r="92" ht="33.75" customHeight="1"/>
    <row r="93" ht="33.75" customHeight="1"/>
    <row r="94" ht="30.75" customHeight="1"/>
    <row r="96" ht="17.25" customHeight="1"/>
    <row r="97" ht="31.5" customHeight="1"/>
    <row r="99" ht="30.75" customHeight="1"/>
    <row r="101" ht="64.5" customHeight="1"/>
    <row r="102" ht="15" customHeight="1">
      <c r="A102" s="12"/>
    </row>
    <row r="103" ht="46.5" customHeight="1"/>
    <row r="104" ht="30.75" customHeight="1"/>
    <row r="105" ht="32.25" customHeight="1"/>
    <row r="106" ht="40.5" customHeight="1"/>
    <row r="107" ht="255" customHeight="1"/>
    <row r="109" ht="30" customHeight="1"/>
    <row r="110" ht="31.5" customHeight="1"/>
    <row r="111" ht="30" customHeight="1"/>
    <row r="112" ht="35.25" customHeight="1"/>
    <row r="113" ht="30.75" customHeight="1"/>
    <row r="114" ht="15" customHeight="1"/>
    <row r="115" ht="36.75" customHeight="1"/>
    <row r="116" ht="48.75" customHeight="1"/>
    <row r="117" ht="47.25" customHeight="1"/>
    <row r="118" ht="63" customHeight="1"/>
    <row r="119" ht="30.75" customHeight="1"/>
    <row r="120" ht="84" customHeight="1"/>
    <row r="121" ht="15" customHeight="1"/>
    <row r="122" ht="39.75" customHeight="1"/>
    <row r="125" ht="31.5" customHeight="1"/>
    <row r="126" ht="31.5" customHeight="1"/>
    <row r="127" ht="30.75" customHeight="1"/>
    <row r="128" ht="18.75" customHeight="1"/>
    <row r="129" ht="52.5" customHeight="1"/>
    <row r="130" ht="35.25" customHeight="1"/>
    <row r="131" ht="30" customHeight="1"/>
    <row r="132" ht="80.25" customHeight="1"/>
    <row r="133" ht="47.25" customHeight="1"/>
    <row r="134" ht="14.25" customHeight="1"/>
    <row r="135" ht="12.75" customHeight="1"/>
    <row r="136" ht="20.25" customHeight="1"/>
    <row r="137" ht="33" customHeight="1"/>
    <row r="139" ht="17.25" customHeight="1"/>
    <row r="140" ht="81.75" customHeight="1"/>
    <row r="141" ht="16.5" customHeight="1"/>
    <row r="142" ht="36.75" customHeight="1"/>
    <row r="143" ht="32.25" customHeight="1"/>
    <row r="144" ht="15.75" customHeight="1"/>
    <row r="145" ht="81" customHeight="1"/>
    <row r="146" ht="15" customHeight="1"/>
    <row r="147" ht="45.75" customHeight="1"/>
    <row r="148" ht="50.25" customHeight="1"/>
    <row r="149" ht="45.75" customHeight="1"/>
    <row r="150" ht="18" customHeight="1"/>
    <row r="151" ht="55.5" customHeight="1"/>
    <row r="152" ht="69" customHeight="1"/>
    <row r="154" ht="18.75" customHeight="1"/>
    <row r="155" ht="16.5" customHeight="1"/>
    <row r="156" ht="21" customHeight="1"/>
    <row r="157" ht="30" customHeight="1"/>
    <row r="158" ht="34.5" customHeight="1"/>
    <row r="159" ht="32.25" customHeight="1"/>
    <row r="160" ht="14.25" customHeight="1"/>
    <row r="162" ht="63" customHeight="1"/>
    <row r="163" ht="66.75" customHeight="1"/>
    <row r="164" ht="18.75" customHeight="1"/>
    <row r="165" ht="30" customHeight="1"/>
    <row r="166" ht="34.5" customHeight="1"/>
    <row r="167" ht="31.5" customHeight="1"/>
    <row r="168" ht="17.25" customHeight="1"/>
    <row r="170" ht="17.25" customHeight="1"/>
    <row r="171" ht="33" customHeight="1"/>
    <row r="172" ht="34.5" customHeight="1"/>
    <row r="174" ht="63" customHeight="1"/>
    <row r="175" ht="16.5" customHeight="1"/>
    <row r="176" ht="30" customHeight="1"/>
    <row r="177" ht="34.5" customHeight="1"/>
    <row r="178" ht="32.25" customHeight="1"/>
    <row r="180" ht="16.5" customHeight="1"/>
    <row r="181" ht="15.75" customHeight="1"/>
    <row r="182" ht="32.25" customHeight="1"/>
    <row r="183" ht="30.75" customHeight="1"/>
    <row r="184" ht="33" customHeight="1"/>
    <row r="185" ht="50.25" customHeight="1"/>
    <row r="186" ht="33" customHeight="1"/>
    <row r="187" ht="17.25" customHeight="1"/>
    <row r="188" ht="17.25" customHeight="1"/>
    <row r="189" ht="48" customHeight="1"/>
    <row r="190" ht="66.75" customHeight="1"/>
    <row r="191" ht="16.5" customHeight="1"/>
    <row r="192" ht="64.5" customHeight="1"/>
    <row r="193" ht="33" customHeight="1"/>
    <row r="194" ht="48" customHeight="1"/>
    <row r="195" ht="61.5" customHeight="1"/>
    <row r="196" ht="61.5" customHeight="1"/>
    <row r="198" ht="30.75" customHeight="1"/>
    <row r="199" ht="31.5" customHeight="1"/>
    <row r="200" ht="77.25" customHeight="1"/>
    <row r="201" ht="48.75" customHeight="1"/>
    <row r="202" ht="129" customHeight="1"/>
    <row r="204" ht="33.75" customHeight="1"/>
    <row r="205" ht="241.5" customHeight="1"/>
    <row r="206" ht="147" customHeight="1"/>
    <row r="207" ht="156.75" customHeight="1"/>
    <row r="208" ht="84" customHeight="1"/>
    <row r="209" ht="69" customHeight="1"/>
    <row r="210" ht="48.75" customHeight="1"/>
    <row r="211" ht="27" customHeight="1"/>
    <row r="212" ht="51.75" customHeight="1"/>
    <row r="213" ht="35.25" customHeight="1"/>
    <row r="214" ht="96.75" customHeight="1"/>
    <row r="215" ht="101.25" customHeight="1"/>
    <row r="217" ht="33.75" customHeight="1"/>
    <row r="218" ht="48.75" customHeight="1"/>
    <row r="220" ht="81.75" customHeight="1"/>
    <row r="221" ht="237.75" customHeight="1"/>
    <row r="222" ht="177.75" customHeight="1"/>
    <row r="225" ht="277.5" customHeight="1"/>
    <row r="226" ht="80.25" customHeight="1"/>
    <row r="227" ht="80.25" customHeight="1"/>
    <row r="228" ht="93.75" customHeight="1"/>
    <row r="229" ht="93.75" customHeight="1"/>
    <row r="230" ht="93.75" customHeight="1"/>
    <row r="231" ht="15.75" customHeight="1"/>
    <row r="232" ht="155.25" customHeight="1"/>
    <row r="234" ht="81.75" customHeight="1"/>
    <row r="236" ht="30.75" customHeight="1"/>
    <row r="237" ht="36.75" customHeight="1"/>
    <row r="238" ht="69.75" customHeight="1"/>
    <row r="239" ht="144" customHeight="1"/>
    <row r="240" ht="34.5" customHeight="1"/>
    <row r="241" ht="18" customHeight="1"/>
    <row r="244" ht="17.25" customHeight="1"/>
  </sheetData>
  <sheetProtection selectLockedCells="1" selectUnlockedCells="1"/>
  <mergeCells count="18">
    <mergeCell ref="B63:C63"/>
    <mergeCell ref="B64:C64"/>
    <mergeCell ref="A9:F9"/>
    <mergeCell ref="A10:F10"/>
    <mergeCell ref="A12:F12"/>
    <mergeCell ref="B62:C62"/>
    <mergeCell ref="B13:B14"/>
    <mergeCell ref="C13:C14"/>
    <mergeCell ref="A13:A14"/>
    <mergeCell ref="D13:F13"/>
    <mergeCell ref="A5:F5"/>
    <mergeCell ref="A6:F6"/>
    <mergeCell ref="A7:F7"/>
    <mergeCell ref="A8:F8"/>
    <mergeCell ref="A1:F1"/>
    <mergeCell ref="A2:F2"/>
    <mergeCell ref="A3:F3"/>
    <mergeCell ref="A4:F4"/>
  </mergeCells>
  <printOptions horizontalCentered="1"/>
  <pageMargins left="0.7874015748031497" right="0.7874015748031497" top="0.7480314960629921" bottom="0.7480314960629921" header="0.5118110236220472" footer="0.5118110236220472"/>
  <pageSetup fitToHeight="0" horizontalDpi="600" verticalDpi="600" orientation="portrait" paperSize="9" scale="73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L852"/>
  <sheetViews>
    <sheetView zoomScale="77" zoomScaleNormal="77" zoomScaleSheetLayoutView="55" workbookViewId="0" topLeftCell="A1">
      <selection activeCell="J13" sqref="J13"/>
    </sheetView>
  </sheetViews>
  <sheetFormatPr defaultColWidth="11.375" defaultRowHeight="12.75"/>
  <cols>
    <col min="1" max="1" width="49.375" style="53" customWidth="1"/>
    <col min="2" max="2" width="5.875" style="31" customWidth="1"/>
    <col min="3" max="3" width="7.125" style="31" customWidth="1"/>
    <col min="4" max="4" width="15.875" style="31" customWidth="1"/>
    <col min="5" max="5" width="6.875" style="31" customWidth="1"/>
    <col min="6" max="6" width="16.125" style="31" customWidth="1"/>
    <col min="7" max="7" width="18.00390625" style="31" customWidth="1"/>
    <col min="8" max="8" width="18.625" style="36" customWidth="1"/>
    <col min="9" max="116" width="9.125" style="31" customWidth="1"/>
    <col min="117" max="16384" width="11.375" style="1" customWidth="1"/>
  </cols>
  <sheetData>
    <row r="1" spans="2:8" ht="15.75">
      <c r="B1" s="209" t="s">
        <v>205</v>
      </c>
      <c r="C1" s="209"/>
      <c r="D1" s="209"/>
      <c r="E1" s="209"/>
      <c r="F1" s="209"/>
      <c r="G1" s="209"/>
      <c r="H1" s="209"/>
    </row>
    <row r="2" spans="2:8" ht="15.75">
      <c r="B2" s="214" t="s">
        <v>31</v>
      </c>
      <c r="C2" s="214"/>
      <c r="D2" s="214"/>
      <c r="E2" s="214"/>
      <c r="F2" s="214"/>
      <c r="G2" s="214"/>
      <c r="H2" s="214"/>
    </row>
    <row r="3" spans="2:8" ht="15.75">
      <c r="B3" s="209" t="s">
        <v>622</v>
      </c>
      <c r="C3" s="209"/>
      <c r="D3" s="209"/>
      <c r="E3" s="209"/>
      <c r="F3" s="209"/>
      <c r="G3" s="209"/>
      <c r="H3" s="209"/>
    </row>
    <row r="4" spans="2:8" ht="15.75">
      <c r="B4" s="209" t="s">
        <v>1032</v>
      </c>
      <c r="C4" s="209"/>
      <c r="D4" s="209"/>
      <c r="E4" s="209"/>
      <c r="F4" s="209"/>
      <c r="G4" s="209"/>
      <c r="H4" s="209"/>
    </row>
    <row r="5" spans="1:8" ht="15.75">
      <c r="A5" s="51"/>
      <c r="B5" s="209" t="s">
        <v>996</v>
      </c>
      <c r="C5" s="209"/>
      <c r="D5" s="209"/>
      <c r="E5" s="209"/>
      <c r="F5" s="209"/>
      <c r="G5" s="209"/>
      <c r="H5" s="209"/>
    </row>
    <row r="6" spans="1:8" ht="15.75">
      <c r="A6" s="51"/>
      <c r="B6" s="214" t="s">
        <v>31</v>
      </c>
      <c r="C6" s="214"/>
      <c r="D6" s="214"/>
      <c r="E6" s="214"/>
      <c r="F6" s="214"/>
      <c r="G6" s="214"/>
      <c r="H6" s="214"/>
    </row>
    <row r="7" spans="1:8" ht="15.75">
      <c r="A7" s="51"/>
      <c r="B7" s="209" t="s">
        <v>622</v>
      </c>
      <c r="C7" s="209"/>
      <c r="D7" s="209"/>
      <c r="E7" s="209"/>
      <c r="F7" s="209"/>
      <c r="G7" s="209"/>
      <c r="H7" s="209"/>
    </row>
    <row r="8" spans="1:8" ht="15.75">
      <c r="A8" s="51"/>
      <c r="B8" s="209" t="s">
        <v>988</v>
      </c>
      <c r="C8" s="209"/>
      <c r="D8" s="209"/>
      <c r="E8" s="209"/>
      <c r="F8" s="209"/>
      <c r="G8" s="209"/>
      <c r="H8" s="209"/>
    </row>
    <row r="9" spans="1:8" ht="13.5" customHeight="1">
      <c r="A9" s="51"/>
      <c r="B9" s="16"/>
      <c r="C9" s="16"/>
      <c r="D9" s="16"/>
      <c r="E9" s="16"/>
      <c r="F9" s="16"/>
      <c r="G9" s="16"/>
      <c r="H9" s="16"/>
    </row>
    <row r="10" spans="1:8" ht="15" customHeight="1">
      <c r="A10" s="241" t="s">
        <v>722</v>
      </c>
      <c r="B10" s="241"/>
      <c r="C10" s="241"/>
      <c r="D10" s="241"/>
      <c r="E10" s="241"/>
      <c r="F10" s="241"/>
      <c r="G10" s="241"/>
      <c r="H10" s="241"/>
    </row>
    <row r="11" spans="1:8" ht="39" customHeight="1">
      <c r="A11" s="241"/>
      <c r="B11" s="241"/>
      <c r="C11" s="241"/>
      <c r="D11" s="241"/>
      <c r="E11" s="241"/>
      <c r="F11" s="241"/>
      <c r="G11" s="241"/>
      <c r="H11" s="241"/>
    </row>
    <row r="12" spans="1:8" ht="15.75">
      <c r="A12" s="52"/>
      <c r="B12" s="38"/>
      <c r="C12" s="38"/>
      <c r="D12" s="38"/>
      <c r="E12" s="38"/>
      <c r="F12" s="38"/>
      <c r="G12" s="38"/>
      <c r="H12" s="39"/>
    </row>
    <row r="13" spans="1:8" ht="15.75">
      <c r="A13" s="240" t="s">
        <v>93</v>
      </c>
      <c r="B13" s="240"/>
      <c r="C13" s="240"/>
      <c r="D13" s="240"/>
      <c r="E13" s="240"/>
      <c r="F13" s="240"/>
      <c r="G13" s="240"/>
      <c r="H13" s="240"/>
    </row>
    <row r="14" spans="1:8" ht="15.75" customHeight="1">
      <c r="A14" s="232" t="s">
        <v>49</v>
      </c>
      <c r="B14" s="232" t="s">
        <v>381</v>
      </c>
      <c r="C14" s="232" t="s">
        <v>382</v>
      </c>
      <c r="D14" s="232" t="s">
        <v>379</v>
      </c>
      <c r="E14" s="232" t="s">
        <v>380</v>
      </c>
      <c r="F14" s="234" t="s">
        <v>5</v>
      </c>
      <c r="G14" s="235"/>
      <c r="H14" s="236"/>
    </row>
    <row r="15" spans="1:8" ht="15.75" customHeight="1">
      <c r="A15" s="233"/>
      <c r="B15" s="233"/>
      <c r="C15" s="233"/>
      <c r="D15" s="233"/>
      <c r="E15" s="233"/>
      <c r="F15" s="46" t="s">
        <v>514</v>
      </c>
      <c r="G15" s="46" t="s">
        <v>552</v>
      </c>
      <c r="H15" s="46" t="s">
        <v>664</v>
      </c>
    </row>
    <row r="16" spans="1:8" ht="16.5" customHeight="1">
      <c r="A16" s="30">
        <v>1</v>
      </c>
      <c r="B16" s="30">
        <v>2</v>
      </c>
      <c r="C16" s="30">
        <v>3</v>
      </c>
      <c r="D16" s="30">
        <v>4</v>
      </c>
      <c r="E16" s="46" t="s">
        <v>94</v>
      </c>
      <c r="F16" s="46" t="s">
        <v>123</v>
      </c>
      <c r="G16" s="46" t="s">
        <v>115</v>
      </c>
      <c r="H16" s="30">
        <v>8</v>
      </c>
    </row>
    <row r="17" spans="1:8" ht="15.75">
      <c r="A17" s="50" t="s">
        <v>50</v>
      </c>
      <c r="B17" s="46" t="s">
        <v>51</v>
      </c>
      <c r="C17" s="46"/>
      <c r="D17" s="46"/>
      <c r="E17" s="46"/>
      <c r="F17" s="93">
        <f>F26+F36+F78+F100+F104+F18+F74+F96</f>
        <v>135206.8</v>
      </c>
      <c r="G17" s="93">
        <f>G26+G36+G78+G100+G104+G18+G74</f>
        <v>137783.7</v>
      </c>
      <c r="H17" s="93">
        <f>H26+H36+H78+H100+H104+H18+H74</f>
        <v>130494.09999999998</v>
      </c>
    </row>
    <row r="18" spans="1:8" ht="47.25">
      <c r="A18" s="55" t="s">
        <v>354</v>
      </c>
      <c r="B18" s="43" t="s">
        <v>51</v>
      </c>
      <c r="C18" s="43" t="s">
        <v>52</v>
      </c>
      <c r="D18" s="123"/>
      <c r="E18" s="123"/>
      <c r="F18" s="45">
        <f aca="true" t="shared" si="0" ref="F18:H20">F19</f>
        <v>2160</v>
      </c>
      <c r="G18" s="45">
        <f t="shared" si="0"/>
        <v>2160</v>
      </c>
      <c r="H18" s="45">
        <f t="shared" si="0"/>
        <v>2160</v>
      </c>
    </row>
    <row r="19" spans="1:8" ht="63">
      <c r="A19" s="40" t="s">
        <v>687</v>
      </c>
      <c r="B19" s="43" t="s">
        <v>51</v>
      </c>
      <c r="C19" s="43" t="s">
        <v>52</v>
      </c>
      <c r="D19" s="43" t="s">
        <v>566</v>
      </c>
      <c r="E19" s="109"/>
      <c r="F19" s="45">
        <f>F20</f>
        <v>2160</v>
      </c>
      <c r="G19" s="45">
        <f t="shared" si="0"/>
        <v>2160</v>
      </c>
      <c r="H19" s="45">
        <f t="shared" si="0"/>
        <v>2160</v>
      </c>
    </row>
    <row r="20" spans="1:8" ht="47.25">
      <c r="A20" s="40" t="s">
        <v>688</v>
      </c>
      <c r="B20" s="43" t="s">
        <v>51</v>
      </c>
      <c r="C20" s="43" t="s">
        <v>52</v>
      </c>
      <c r="D20" s="43" t="s">
        <v>578</v>
      </c>
      <c r="E20" s="74"/>
      <c r="F20" s="59">
        <f>F21</f>
        <v>2160</v>
      </c>
      <c r="G20" s="59">
        <f t="shared" si="0"/>
        <v>2160</v>
      </c>
      <c r="H20" s="59">
        <f t="shared" si="0"/>
        <v>2160</v>
      </c>
    </row>
    <row r="21" spans="1:8" ht="47.25">
      <c r="A21" s="40" t="s">
        <v>689</v>
      </c>
      <c r="B21" s="43" t="s">
        <v>51</v>
      </c>
      <c r="C21" s="43" t="s">
        <v>52</v>
      </c>
      <c r="D21" s="43" t="s">
        <v>582</v>
      </c>
      <c r="E21" s="74"/>
      <c r="F21" s="94">
        <f>F22+F24</f>
        <v>2160</v>
      </c>
      <c r="G21" s="94">
        <f>G22+G24</f>
        <v>2160</v>
      </c>
      <c r="H21" s="94">
        <f>H22+H24</f>
        <v>2160</v>
      </c>
    </row>
    <row r="22" spans="1:8" ht="31.5">
      <c r="A22" s="7" t="s">
        <v>95</v>
      </c>
      <c r="B22" s="43" t="s">
        <v>51</v>
      </c>
      <c r="C22" s="43" t="s">
        <v>52</v>
      </c>
      <c r="D22" s="42" t="s">
        <v>581</v>
      </c>
      <c r="E22" s="109"/>
      <c r="F22" s="45">
        <f>F23</f>
        <v>1674.2</v>
      </c>
      <c r="G22" s="45">
        <f>G23</f>
        <v>1674.2</v>
      </c>
      <c r="H22" s="45">
        <f>H23</f>
        <v>1674.2</v>
      </c>
    </row>
    <row r="23" spans="1:8" ht="31.5">
      <c r="A23" s="154" t="s">
        <v>96</v>
      </c>
      <c r="B23" s="155" t="s">
        <v>51</v>
      </c>
      <c r="C23" s="155" t="s">
        <v>52</v>
      </c>
      <c r="D23" s="57" t="s">
        <v>581</v>
      </c>
      <c r="E23" s="57" t="s">
        <v>97</v>
      </c>
      <c r="F23" s="94">
        <f>2160-485.8</f>
        <v>1674.2</v>
      </c>
      <c r="G23" s="94">
        <f>2160-485.8</f>
        <v>1674.2</v>
      </c>
      <c r="H23" s="94">
        <f>2160-485.8</f>
        <v>1674.2</v>
      </c>
    </row>
    <row r="24" spans="1:8" ht="47.25">
      <c r="A24" s="40" t="s">
        <v>462</v>
      </c>
      <c r="B24" s="43" t="s">
        <v>51</v>
      </c>
      <c r="C24" s="43" t="s">
        <v>52</v>
      </c>
      <c r="D24" s="43" t="s">
        <v>583</v>
      </c>
      <c r="E24" s="43"/>
      <c r="F24" s="59">
        <f>F25</f>
        <v>485.8</v>
      </c>
      <c r="G24" s="59">
        <f>G25</f>
        <v>485.8</v>
      </c>
      <c r="H24" s="59">
        <f>H25</f>
        <v>485.8</v>
      </c>
    </row>
    <row r="25" spans="1:8" ht="31.5">
      <c r="A25" s="37" t="s">
        <v>96</v>
      </c>
      <c r="B25" s="43" t="s">
        <v>51</v>
      </c>
      <c r="C25" s="43" t="s">
        <v>52</v>
      </c>
      <c r="D25" s="43" t="s">
        <v>583</v>
      </c>
      <c r="E25" s="43" t="s">
        <v>97</v>
      </c>
      <c r="F25" s="94">
        <v>485.8</v>
      </c>
      <c r="G25" s="94">
        <v>485.8</v>
      </c>
      <c r="H25" s="94">
        <v>485.8</v>
      </c>
    </row>
    <row r="26" spans="1:8" ht="63">
      <c r="A26" s="124" t="s">
        <v>98</v>
      </c>
      <c r="B26" s="43" t="s">
        <v>51</v>
      </c>
      <c r="C26" s="43" t="s">
        <v>54</v>
      </c>
      <c r="D26" s="43"/>
      <c r="E26" s="43"/>
      <c r="F26" s="45">
        <f aca="true" t="shared" si="1" ref="F26:H28">F27</f>
        <v>2097</v>
      </c>
      <c r="G26" s="45">
        <f t="shared" si="1"/>
        <v>2040</v>
      </c>
      <c r="H26" s="45">
        <f t="shared" si="1"/>
        <v>1890</v>
      </c>
    </row>
    <row r="27" spans="1:8" ht="63">
      <c r="A27" s="40" t="s">
        <v>687</v>
      </c>
      <c r="B27" s="43" t="s">
        <v>51</v>
      </c>
      <c r="C27" s="43" t="s">
        <v>54</v>
      </c>
      <c r="D27" s="43" t="s">
        <v>566</v>
      </c>
      <c r="E27" s="43"/>
      <c r="F27" s="45">
        <f>F28</f>
        <v>2097</v>
      </c>
      <c r="G27" s="45">
        <f t="shared" si="1"/>
        <v>2040</v>
      </c>
      <c r="H27" s="45">
        <f t="shared" si="1"/>
        <v>1890</v>
      </c>
    </row>
    <row r="28" spans="1:8" ht="47.25">
      <c r="A28" s="40" t="s">
        <v>690</v>
      </c>
      <c r="B28" s="43" t="s">
        <v>51</v>
      </c>
      <c r="C28" s="43" t="s">
        <v>54</v>
      </c>
      <c r="D28" s="43" t="s">
        <v>579</v>
      </c>
      <c r="E28" s="43"/>
      <c r="F28" s="45">
        <f>F29</f>
        <v>2097</v>
      </c>
      <c r="G28" s="45">
        <f t="shared" si="1"/>
        <v>2040</v>
      </c>
      <c r="H28" s="45">
        <f t="shared" si="1"/>
        <v>1890</v>
      </c>
    </row>
    <row r="29" spans="1:8" ht="47.25">
      <c r="A29" s="40" t="s">
        <v>691</v>
      </c>
      <c r="B29" s="43" t="s">
        <v>51</v>
      </c>
      <c r="C29" s="43" t="s">
        <v>54</v>
      </c>
      <c r="D29" s="43" t="s">
        <v>586</v>
      </c>
      <c r="E29" s="43"/>
      <c r="F29" s="45">
        <f>F30+F34</f>
        <v>2097</v>
      </c>
      <c r="G29" s="45">
        <f>G30+G34</f>
        <v>2040</v>
      </c>
      <c r="H29" s="45">
        <f>H30+H34</f>
        <v>1890</v>
      </c>
    </row>
    <row r="30" spans="1:8" ht="31.5">
      <c r="A30" s="40" t="s">
        <v>99</v>
      </c>
      <c r="B30" s="43" t="s">
        <v>51</v>
      </c>
      <c r="C30" s="43" t="s">
        <v>54</v>
      </c>
      <c r="D30" s="42" t="s">
        <v>591</v>
      </c>
      <c r="E30" s="43"/>
      <c r="F30" s="45">
        <f>F31+F32+F33</f>
        <v>1749.5</v>
      </c>
      <c r="G30" s="45">
        <f>G31+G32+G33</f>
        <v>1692.5</v>
      </c>
      <c r="H30" s="45">
        <f>H31+H32+H33</f>
        <v>1542.5</v>
      </c>
    </row>
    <row r="31" spans="1:8" ht="31.5">
      <c r="A31" s="40" t="s">
        <v>96</v>
      </c>
      <c r="B31" s="43" t="s">
        <v>51</v>
      </c>
      <c r="C31" s="43" t="s">
        <v>54</v>
      </c>
      <c r="D31" s="42" t="s">
        <v>591</v>
      </c>
      <c r="E31" s="43" t="s">
        <v>97</v>
      </c>
      <c r="F31" s="45">
        <f>1748-347.5</f>
        <v>1400.5</v>
      </c>
      <c r="G31" s="45">
        <f>1748-347.5</f>
        <v>1400.5</v>
      </c>
      <c r="H31" s="45">
        <f>1748-347.5</f>
        <v>1400.5</v>
      </c>
    </row>
    <row r="32" spans="1:8" ht="47.25">
      <c r="A32" s="40" t="s">
        <v>20</v>
      </c>
      <c r="B32" s="43" t="s">
        <v>51</v>
      </c>
      <c r="C32" s="43" t="s">
        <v>54</v>
      </c>
      <c r="D32" s="42" t="s">
        <v>591</v>
      </c>
      <c r="E32" s="43" t="s">
        <v>100</v>
      </c>
      <c r="F32" s="45">
        <v>345</v>
      </c>
      <c r="G32" s="45">
        <f>292</f>
        <v>292</v>
      </c>
      <c r="H32" s="45">
        <f>292-150</f>
        <v>142</v>
      </c>
    </row>
    <row r="33" spans="1:8" ht="15.75">
      <c r="A33" s="40" t="s">
        <v>21</v>
      </c>
      <c r="B33" s="43" t="s">
        <v>51</v>
      </c>
      <c r="C33" s="43" t="s">
        <v>54</v>
      </c>
      <c r="D33" s="42" t="s">
        <v>591</v>
      </c>
      <c r="E33" s="43" t="s">
        <v>101</v>
      </c>
      <c r="F33" s="45">
        <v>4</v>
      </c>
      <c r="G33" s="45">
        <v>0</v>
      </c>
      <c r="H33" s="45">
        <v>0</v>
      </c>
    </row>
    <row r="34" spans="1:8" ht="47.25">
      <c r="A34" s="40" t="s">
        <v>462</v>
      </c>
      <c r="B34" s="43" t="s">
        <v>51</v>
      </c>
      <c r="C34" s="43" t="s">
        <v>54</v>
      </c>
      <c r="D34" s="43" t="s">
        <v>592</v>
      </c>
      <c r="E34" s="43"/>
      <c r="F34" s="59">
        <f>F35</f>
        <v>347.5</v>
      </c>
      <c r="G34" s="59">
        <f>G35</f>
        <v>347.5</v>
      </c>
      <c r="H34" s="59">
        <f>H35</f>
        <v>347.5</v>
      </c>
    </row>
    <row r="35" spans="1:8" ht="31.5">
      <c r="A35" s="37" t="s">
        <v>96</v>
      </c>
      <c r="B35" s="43" t="s">
        <v>51</v>
      </c>
      <c r="C35" s="43" t="s">
        <v>54</v>
      </c>
      <c r="D35" s="43" t="s">
        <v>592</v>
      </c>
      <c r="E35" s="43" t="s">
        <v>97</v>
      </c>
      <c r="F35" s="59">
        <f>547.5-200</f>
        <v>347.5</v>
      </c>
      <c r="G35" s="59">
        <f>547.5-200</f>
        <v>347.5</v>
      </c>
      <c r="H35" s="59">
        <f>547.5-200</f>
        <v>347.5</v>
      </c>
    </row>
    <row r="36" spans="1:8" ht="65.25" customHeight="1">
      <c r="A36" s="40" t="s">
        <v>55</v>
      </c>
      <c r="B36" s="43" t="s">
        <v>51</v>
      </c>
      <c r="C36" s="43" t="s">
        <v>56</v>
      </c>
      <c r="D36" s="43"/>
      <c r="E36" s="43"/>
      <c r="F36" s="45">
        <f>F49+F42+F37</f>
        <v>74575.09999999999</v>
      </c>
      <c r="G36" s="45">
        <f>G49+G42+G37</f>
        <v>78216.1</v>
      </c>
      <c r="H36" s="45">
        <f>H49+H42+H37</f>
        <v>72253.29999999999</v>
      </c>
    </row>
    <row r="37" spans="1:8" ht="47.25">
      <c r="A37" s="40" t="s">
        <v>713</v>
      </c>
      <c r="B37" s="43" t="s">
        <v>51</v>
      </c>
      <c r="C37" s="43" t="s">
        <v>56</v>
      </c>
      <c r="D37" s="43" t="s">
        <v>374</v>
      </c>
      <c r="E37" s="43"/>
      <c r="F37" s="45">
        <f aca="true" t="shared" si="2" ref="F37:H38">F38</f>
        <v>994.9</v>
      </c>
      <c r="G37" s="45">
        <f t="shared" si="2"/>
        <v>994.9</v>
      </c>
      <c r="H37" s="45">
        <f t="shared" si="2"/>
        <v>994.9</v>
      </c>
    </row>
    <row r="38" spans="1:8" ht="47.25">
      <c r="A38" s="37" t="s">
        <v>138</v>
      </c>
      <c r="B38" s="43" t="s">
        <v>51</v>
      </c>
      <c r="C38" s="43" t="s">
        <v>56</v>
      </c>
      <c r="D38" s="43" t="s">
        <v>717</v>
      </c>
      <c r="E38" s="43"/>
      <c r="F38" s="45">
        <f t="shared" si="2"/>
        <v>994.9</v>
      </c>
      <c r="G38" s="45">
        <f t="shared" si="2"/>
        <v>994.9</v>
      </c>
      <c r="H38" s="45">
        <f t="shared" si="2"/>
        <v>994.9</v>
      </c>
    </row>
    <row r="39" spans="1:8" ht="31.5">
      <c r="A39" s="156" t="s">
        <v>428</v>
      </c>
      <c r="B39" s="43" t="s">
        <v>51</v>
      </c>
      <c r="C39" s="43" t="s">
        <v>56</v>
      </c>
      <c r="D39" s="43" t="s">
        <v>718</v>
      </c>
      <c r="E39" s="43"/>
      <c r="F39" s="45">
        <f>F40+F41</f>
        <v>994.9</v>
      </c>
      <c r="G39" s="45">
        <f>G40+G41</f>
        <v>994.9</v>
      </c>
      <c r="H39" s="45">
        <f>H40+H41</f>
        <v>994.9</v>
      </c>
    </row>
    <row r="40" spans="1:8" ht="31.5">
      <c r="A40" s="37" t="s">
        <v>96</v>
      </c>
      <c r="B40" s="43" t="s">
        <v>51</v>
      </c>
      <c r="C40" s="43" t="s">
        <v>56</v>
      </c>
      <c r="D40" s="43" t="s">
        <v>718</v>
      </c>
      <c r="E40" s="43" t="s">
        <v>97</v>
      </c>
      <c r="F40" s="45">
        <v>994.9</v>
      </c>
      <c r="G40" s="45">
        <v>994.9</v>
      </c>
      <c r="H40" s="45">
        <v>994.9</v>
      </c>
    </row>
    <row r="41" spans="1:8" ht="47.25" hidden="1">
      <c r="A41" s="40" t="s">
        <v>20</v>
      </c>
      <c r="B41" s="43" t="s">
        <v>51</v>
      </c>
      <c r="C41" s="43" t="s">
        <v>56</v>
      </c>
      <c r="D41" s="43" t="s">
        <v>718</v>
      </c>
      <c r="E41" s="43" t="s">
        <v>100</v>
      </c>
      <c r="F41" s="45">
        <v>0</v>
      </c>
      <c r="G41" s="45">
        <v>0</v>
      </c>
      <c r="H41" s="45">
        <v>0</v>
      </c>
    </row>
    <row r="42" spans="1:8" ht="78.75">
      <c r="A42" s="37" t="s">
        <v>790</v>
      </c>
      <c r="B42" s="43" t="s">
        <v>51</v>
      </c>
      <c r="C42" s="43" t="s">
        <v>56</v>
      </c>
      <c r="D42" s="43" t="s">
        <v>371</v>
      </c>
      <c r="E42" s="43"/>
      <c r="F42" s="45">
        <f>F43+F46</f>
        <v>500</v>
      </c>
      <c r="G42" s="45">
        <f>G43+G46</f>
        <v>500</v>
      </c>
      <c r="H42" s="45">
        <f>H43+H46</f>
        <v>50</v>
      </c>
    </row>
    <row r="43" spans="1:8" ht="31.5">
      <c r="A43" s="37" t="s">
        <v>370</v>
      </c>
      <c r="B43" s="43" t="s">
        <v>51</v>
      </c>
      <c r="C43" s="43" t="s">
        <v>56</v>
      </c>
      <c r="D43" s="43" t="s">
        <v>791</v>
      </c>
      <c r="E43" s="43"/>
      <c r="F43" s="45">
        <f aca="true" t="shared" si="3" ref="F43:H44">F44</f>
        <v>230</v>
      </c>
      <c r="G43" s="45">
        <f t="shared" si="3"/>
        <v>230</v>
      </c>
      <c r="H43" s="45">
        <f t="shared" si="3"/>
        <v>30</v>
      </c>
    </row>
    <row r="44" spans="1:8" ht="31.5">
      <c r="A44" s="40" t="s">
        <v>95</v>
      </c>
      <c r="B44" s="43" t="s">
        <v>51</v>
      </c>
      <c r="C44" s="43" t="s">
        <v>56</v>
      </c>
      <c r="D44" s="43" t="s">
        <v>792</v>
      </c>
      <c r="E44" s="43"/>
      <c r="F44" s="45">
        <f t="shared" si="3"/>
        <v>230</v>
      </c>
      <c r="G44" s="45">
        <f t="shared" si="3"/>
        <v>230</v>
      </c>
      <c r="H44" s="45">
        <f t="shared" si="3"/>
        <v>30</v>
      </c>
    </row>
    <row r="45" spans="1:8" ht="47.25">
      <c r="A45" s="40" t="s">
        <v>20</v>
      </c>
      <c r="B45" s="43" t="s">
        <v>51</v>
      </c>
      <c r="C45" s="43" t="s">
        <v>56</v>
      </c>
      <c r="D45" s="43" t="s">
        <v>792</v>
      </c>
      <c r="E45" s="43" t="s">
        <v>100</v>
      </c>
      <c r="F45" s="45">
        <v>230</v>
      </c>
      <c r="G45" s="45">
        <v>230</v>
      </c>
      <c r="H45" s="45">
        <f>230-200</f>
        <v>30</v>
      </c>
    </row>
    <row r="46" spans="1:8" ht="63">
      <c r="A46" s="40" t="s">
        <v>795</v>
      </c>
      <c r="B46" s="43" t="s">
        <v>51</v>
      </c>
      <c r="C46" s="43" t="s">
        <v>56</v>
      </c>
      <c r="D46" s="43" t="s">
        <v>793</v>
      </c>
      <c r="E46" s="43"/>
      <c r="F46" s="45">
        <f aca="true" t="shared" si="4" ref="F46:H47">F47</f>
        <v>270</v>
      </c>
      <c r="G46" s="45">
        <f t="shared" si="4"/>
        <v>270</v>
      </c>
      <c r="H46" s="45">
        <f t="shared" si="4"/>
        <v>20</v>
      </c>
    </row>
    <row r="47" spans="1:8" ht="31.5">
      <c r="A47" s="40" t="s">
        <v>95</v>
      </c>
      <c r="B47" s="43" t="s">
        <v>51</v>
      </c>
      <c r="C47" s="43" t="s">
        <v>56</v>
      </c>
      <c r="D47" s="43" t="s">
        <v>794</v>
      </c>
      <c r="E47" s="43"/>
      <c r="F47" s="45">
        <f t="shared" si="4"/>
        <v>270</v>
      </c>
      <c r="G47" s="45">
        <f t="shared" si="4"/>
        <v>270</v>
      </c>
      <c r="H47" s="45">
        <f t="shared" si="4"/>
        <v>20</v>
      </c>
    </row>
    <row r="48" spans="1:8" ht="47.25">
      <c r="A48" s="40" t="s">
        <v>20</v>
      </c>
      <c r="B48" s="43" t="s">
        <v>51</v>
      </c>
      <c r="C48" s="43" t="s">
        <v>56</v>
      </c>
      <c r="D48" s="43" t="s">
        <v>794</v>
      </c>
      <c r="E48" s="43" t="s">
        <v>100</v>
      </c>
      <c r="F48" s="45">
        <v>270</v>
      </c>
      <c r="G48" s="45">
        <v>270</v>
      </c>
      <c r="H48" s="45">
        <f>270-250</f>
        <v>20</v>
      </c>
    </row>
    <row r="49" spans="1:8" ht="63">
      <c r="A49" s="40" t="s">
        <v>687</v>
      </c>
      <c r="B49" s="43" t="s">
        <v>51</v>
      </c>
      <c r="C49" s="43" t="s">
        <v>56</v>
      </c>
      <c r="D49" s="43" t="s">
        <v>566</v>
      </c>
      <c r="E49" s="74"/>
      <c r="F49" s="94">
        <f>F50+F66</f>
        <v>73080.2</v>
      </c>
      <c r="G49" s="94">
        <f>G50+G66</f>
        <v>76721.20000000001</v>
      </c>
      <c r="H49" s="94">
        <f>H50+H66</f>
        <v>71208.4</v>
      </c>
    </row>
    <row r="50" spans="1:8" ht="47.25">
      <c r="A50" s="40" t="s">
        <v>688</v>
      </c>
      <c r="B50" s="43" t="s">
        <v>51</v>
      </c>
      <c r="C50" s="43" t="s">
        <v>56</v>
      </c>
      <c r="D50" s="43" t="s">
        <v>578</v>
      </c>
      <c r="E50" s="74"/>
      <c r="F50" s="94">
        <f>F51</f>
        <v>66764.8</v>
      </c>
      <c r="G50" s="94">
        <f>G51</f>
        <v>69914.90000000001</v>
      </c>
      <c r="H50" s="94">
        <f>H51</f>
        <v>65412.1</v>
      </c>
    </row>
    <row r="51" spans="1:8" ht="47.25">
      <c r="A51" s="40" t="s">
        <v>689</v>
      </c>
      <c r="B51" s="43" t="s">
        <v>51</v>
      </c>
      <c r="C51" s="43" t="s">
        <v>56</v>
      </c>
      <c r="D51" s="43" t="s">
        <v>582</v>
      </c>
      <c r="E51" s="74"/>
      <c r="F51" s="94">
        <f>F52+F58+F60+F63</f>
        <v>66764.8</v>
      </c>
      <c r="G51" s="94">
        <f>G52+G58+G60+G63</f>
        <v>69914.90000000001</v>
      </c>
      <c r="H51" s="94">
        <f>H52+H58+H60+H63</f>
        <v>65412.1</v>
      </c>
    </row>
    <row r="52" spans="1:8" ht="31.5">
      <c r="A52" s="40" t="s">
        <v>95</v>
      </c>
      <c r="B52" s="43" t="s">
        <v>51</v>
      </c>
      <c r="C52" s="43" t="s">
        <v>56</v>
      </c>
      <c r="D52" s="43" t="s">
        <v>581</v>
      </c>
      <c r="E52" s="74"/>
      <c r="F52" s="45">
        <f>F53+F54+F55+F56</f>
        <v>46859.6</v>
      </c>
      <c r="G52" s="45">
        <f>G53+G54+G55</f>
        <v>49839.200000000004</v>
      </c>
      <c r="H52" s="45">
        <f>H53+H54+H55</f>
        <v>45155</v>
      </c>
    </row>
    <row r="53" spans="1:8" ht="31.5">
      <c r="A53" s="37" t="s">
        <v>96</v>
      </c>
      <c r="B53" s="43" t="s">
        <v>51</v>
      </c>
      <c r="C53" s="43" t="s">
        <v>56</v>
      </c>
      <c r="D53" s="43" t="s">
        <v>581</v>
      </c>
      <c r="E53" s="74" t="s">
        <v>97</v>
      </c>
      <c r="F53" s="94">
        <v>34180.9</v>
      </c>
      <c r="G53" s="94">
        <f>52214.3-18701.2</f>
        <v>33513.100000000006</v>
      </c>
      <c r="H53" s="94">
        <f>52214.3-18882.4</f>
        <v>33331.9</v>
      </c>
    </row>
    <row r="54" spans="1:8" ht="47.25">
      <c r="A54" s="40" t="s">
        <v>20</v>
      </c>
      <c r="B54" s="43" t="s">
        <v>51</v>
      </c>
      <c r="C54" s="43" t="s">
        <v>56</v>
      </c>
      <c r="D54" s="43" t="s">
        <v>581</v>
      </c>
      <c r="E54" s="74" t="s">
        <v>100</v>
      </c>
      <c r="F54" s="94">
        <v>12328.699999999999</v>
      </c>
      <c r="G54" s="59">
        <v>15976.099999999999</v>
      </c>
      <c r="H54" s="59">
        <v>11473.099999999999</v>
      </c>
    </row>
    <row r="55" spans="1:8" ht="15.75">
      <c r="A55" s="40" t="s">
        <v>21</v>
      </c>
      <c r="B55" s="43" t="s">
        <v>51</v>
      </c>
      <c r="C55" s="43" t="s">
        <v>56</v>
      </c>
      <c r="D55" s="43" t="s">
        <v>581</v>
      </c>
      <c r="E55" s="74" t="s">
        <v>101</v>
      </c>
      <c r="F55" s="94">
        <v>350</v>
      </c>
      <c r="G55" s="94">
        <v>350</v>
      </c>
      <c r="H55" s="94">
        <v>350</v>
      </c>
    </row>
    <row r="56" spans="1:8" ht="204.75" hidden="1">
      <c r="A56" s="40" t="s">
        <v>550</v>
      </c>
      <c r="B56" s="43" t="s">
        <v>51</v>
      </c>
      <c r="C56" s="43" t="s">
        <v>56</v>
      </c>
      <c r="D56" s="43" t="s">
        <v>619</v>
      </c>
      <c r="E56" s="43"/>
      <c r="F56" s="59">
        <f>F57</f>
        <v>0</v>
      </c>
      <c r="G56" s="59"/>
      <c r="H56" s="59"/>
    </row>
    <row r="57" spans="1:8" ht="31.5" hidden="1">
      <c r="A57" s="40" t="s">
        <v>96</v>
      </c>
      <c r="B57" s="43" t="s">
        <v>51</v>
      </c>
      <c r="C57" s="43" t="s">
        <v>56</v>
      </c>
      <c r="D57" s="43" t="s">
        <v>619</v>
      </c>
      <c r="E57" s="43" t="s">
        <v>97</v>
      </c>
      <c r="F57" s="59">
        <v>0</v>
      </c>
      <c r="G57" s="59"/>
      <c r="H57" s="59"/>
    </row>
    <row r="58" spans="1:8" ht="47.25">
      <c r="A58" s="40" t="s">
        <v>462</v>
      </c>
      <c r="B58" s="43" t="s">
        <v>51</v>
      </c>
      <c r="C58" s="43" t="s">
        <v>56</v>
      </c>
      <c r="D58" s="43" t="s">
        <v>583</v>
      </c>
      <c r="E58" s="43"/>
      <c r="F58" s="59">
        <f>F59</f>
        <v>18530.5</v>
      </c>
      <c r="G58" s="59">
        <f>G59</f>
        <v>18701.2</v>
      </c>
      <c r="H58" s="59">
        <f>H59</f>
        <v>18882.4</v>
      </c>
    </row>
    <row r="59" spans="1:8" ht="31.5">
      <c r="A59" s="37" t="s">
        <v>96</v>
      </c>
      <c r="B59" s="43" t="s">
        <v>51</v>
      </c>
      <c r="C59" s="43" t="s">
        <v>56</v>
      </c>
      <c r="D59" s="43" t="s">
        <v>583</v>
      </c>
      <c r="E59" s="43" t="s">
        <v>97</v>
      </c>
      <c r="F59" s="94">
        <f>18330.5+200</f>
        <v>18530.5</v>
      </c>
      <c r="G59" s="94">
        <f>18501.2+200</f>
        <v>18701.2</v>
      </c>
      <c r="H59" s="94">
        <f>18682.4+200</f>
        <v>18882.4</v>
      </c>
    </row>
    <row r="60" spans="1:8" ht="126">
      <c r="A60" s="156" t="s">
        <v>213</v>
      </c>
      <c r="B60" s="43" t="s">
        <v>51</v>
      </c>
      <c r="C60" s="43" t="s">
        <v>56</v>
      </c>
      <c r="D60" s="43" t="s">
        <v>584</v>
      </c>
      <c r="E60" s="43"/>
      <c r="F60" s="59">
        <f>F61+F62</f>
        <v>289.2</v>
      </c>
      <c r="G60" s="45">
        <f>G61+G62</f>
        <v>289.3</v>
      </c>
      <c r="H60" s="45">
        <f>H61+H62</f>
        <v>289.5</v>
      </c>
    </row>
    <row r="61" spans="1:8" ht="31.5">
      <c r="A61" s="37" t="s">
        <v>96</v>
      </c>
      <c r="B61" s="43" t="s">
        <v>51</v>
      </c>
      <c r="C61" s="43" t="s">
        <v>56</v>
      </c>
      <c r="D61" s="43" t="s">
        <v>584</v>
      </c>
      <c r="E61" s="43" t="s">
        <v>97</v>
      </c>
      <c r="F61" s="94">
        <v>30</v>
      </c>
      <c r="G61" s="94">
        <v>30</v>
      </c>
      <c r="H61" s="94">
        <v>30</v>
      </c>
    </row>
    <row r="62" spans="1:8" ht="47.25">
      <c r="A62" s="40" t="s">
        <v>20</v>
      </c>
      <c r="B62" s="43" t="s">
        <v>51</v>
      </c>
      <c r="C62" s="43" t="s">
        <v>56</v>
      </c>
      <c r="D62" s="43" t="s">
        <v>584</v>
      </c>
      <c r="E62" s="43" t="s">
        <v>100</v>
      </c>
      <c r="F62" s="94">
        <v>259.2</v>
      </c>
      <c r="G62" s="94">
        <v>259.3</v>
      </c>
      <c r="H62" s="94">
        <v>259.5</v>
      </c>
    </row>
    <row r="63" spans="1:8" ht="31.5">
      <c r="A63" s="156" t="s">
        <v>428</v>
      </c>
      <c r="B63" s="43" t="s">
        <v>51</v>
      </c>
      <c r="C63" s="43" t="s">
        <v>56</v>
      </c>
      <c r="D63" s="43" t="s">
        <v>585</v>
      </c>
      <c r="E63" s="43"/>
      <c r="F63" s="45">
        <f>F64+F65</f>
        <v>1085.5</v>
      </c>
      <c r="G63" s="45">
        <f>G64+G65</f>
        <v>1085.2</v>
      </c>
      <c r="H63" s="45">
        <f>H64+H65</f>
        <v>1085.2</v>
      </c>
    </row>
    <row r="64" spans="1:8" ht="31.5">
      <c r="A64" s="37" t="s">
        <v>96</v>
      </c>
      <c r="B64" s="43" t="s">
        <v>51</v>
      </c>
      <c r="C64" s="43" t="s">
        <v>56</v>
      </c>
      <c r="D64" s="43" t="s">
        <v>585</v>
      </c>
      <c r="E64" s="43" t="s">
        <v>97</v>
      </c>
      <c r="F64" s="94">
        <f>539.1+160.4+75.5+23.6+2.2+20.2</f>
        <v>821.0000000000001</v>
      </c>
      <c r="G64" s="94">
        <f>799.6+20.2</f>
        <v>819.8000000000001</v>
      </c>
      <c r="H64" s="94">
        <f>799.6+20.2</f>
        <v>819.8000000000001</v>
      </c>
    </row>
    <row r="65" spans="1:8" ht="47.25">
      <c r="A65" s="40" t="s">
        <v>20</v>
      </c>
      <c r="B65" s="43" t="s">
        <v>51</v>
      </c>
      <c r="C65" s="43" t="s">
        <v>56</v>
      </c>
      <c r="D65" s="43" t="s">
        <v>585</v>
      </c>
      <c r="E65" s="43" t="s">
        <v>100</v>
      </c>
      <c r="F65" s="94">
        <f>261.8+2.7</f>
        <v>264.5</v>
      </c>
      <c r="G65" s="94">
        <f>262.7+2.7</f>
        <v>265.4</v>
      </c>
      <c r="H65" s="94">
        <f>262.7+2.7</f>
        <v>265.4</v>
      </c>
    </row>
    <row r="66" spans="1:8" ht="63">
      <c r="A66" s="87" t="s">
        <v>942</v>
      </c>
      <c r="B66" s="43" t="s">
        <v>51</v>
      </c>
      <c r="C66" s="43" t="s">
        <v>56</v>
      </c>
      <c r="D66" s="43" t="s">
        <v>680</v>
      </c>
      <c r="E66" s="74"/>
      <c r="F66" s="94">
        <f>F67</f>
        <v>6315.400000000001</v>
      </c>
      <c r="G66" s="94">
        <f>G67</f>
        <v>6806.3</v>
      </c>
      <c r="H66" s="94">
        <f>H67</f>
        <v>5796.3</v>
      </c>
    </row>
    <row r="67" spans="1:8" ht="63">
      <c r="A67" s="40" t="s">
        <v>941</v>
      </c>
      <c r="B67" s="43" t="s">
        <v>51</v>
      </c>
      <c r="C67" s="43" t="s">
        <v>56</v>
      </c>
      <c r="D67" s="43" t="s">
        <v>682</v>
      </c>
      <c r="E67" s="74"/>
      <c r="F67" s="94">
        <f>F68+F72</f>
        <v>6315.400000000001</v>
      </c>
      <c r="G67" s="94">
        <f>G68+G72</f>
        <v>6806.3</v>
      </c>
      <c r="H67" s="94">
        <f>H68+H72</f>
        <v>5796.3</v>
      </c>
    </row>
    <row r="68" spans="1:8" ht="31.5">
      <c r="A68" s="40" t="s">
        <v>95</v>
      </c>
      <c r="B68" s="43" t="s">
        <v>51</v>
      </c>
      <c r="C68" s="43" t="s">
        <v>56</v>
      </c>
      <c r="D68" s="43" t="s">
        <v>683</v>
      </c>
      <c r="E68" s="43"/>
      <c r="F68" s="94">
        <f>F69+F70+F71</f>
        <v>4815.400000000001</v>
      </c>
      <c r="G68" s="94">
        <f>G69+G70+G71</f>
        <v>5306.3</v>
      </c>
      <c r="H68" s="94">
        <f>H69+H70+H71</f>
        <v>4296.3</v>
      </c>
    </row>
    <row r="69" spans="1:8" ht="31.5">
      <c r="A69" s="40" t="s">
        <v>96</v>
      </c>
      <c r="B69" s="43" t="s">
        <v>51</v>
      </c>
      <c r="C69" s="43" t="s">
        <v>56</v>
      </c>
      <c r="D69" s="43" t="s">
        <v>683</v>
      </c>
      <c r="E69" s="43" t="s">
        <v>97</v>
      </c>
      <c r="F69" s="94">
        <f>5518.8-1500</f>
        <v>4018.8</v>
      </c>
      <c r="G69" s="94">
        <f>5518.8-1500</f>
        <v>4018.8</v>
      </c>
      <c r="H69" s="94">
        <f>5518.8-1500</f>
        <v>4018.8</v>
      </c>
    </row>
    <row r="70" spans="1:8" ht="47.25">
      <c r="A70" s="40" t="s">
        <v>20</v>
      </c>
      <c r="B70" s="43" t="s">
        <v>51</v>
      </c>
      <c r="C70" s="43" t="s">
        <v>56</v>
      </c>
      <c r="D70" s="43" t="s">
        <v>683</v>
      </c>
      <c r="E70" s="43" t="s">
        <v>100</v>
      </c>
      <c r="F70" s="94">
        <v>765.8000000000001</v>
      </c>
      <c r="G70" s="94">
        <f>782.5+500</f>
        <v>1282.5</v>
      </c>
      <c r="H70" s="94">
        <f>782.5-510</f>
        <v>272.5</v>
      </c>
    </row>
    <row r="71" spans="1:8" ht="15.75">
      <c r="A71" s="40" t="s">
        <v>21</v>
      </c>
      <c r="B71" s="43" t="s">
        <v>51</v>
      </c>
      <c r="C71" s="43" t="s">
        <v>56</v>
      </c>
      <c r="D71" s="43" t="s">
        <v>683</v>
      </c>
      <c r="E71" s="43" t="s">
        <v>101</v>
      </c>
      <c r="F71" s="94">
        <v>30.8</v>
      </c>
      <c r="G71" s="94">
        <v>5</v>
      </c>
      <c r="H71" s="94">
        <v>5</v>
      </c>
    </row>
    <row r="72" spans="1:8" ht="47.25">
      <c r="A72" s="40" t="s">
        <v>462</v>
      </c>
      <c r="B72" s="43" t="s">
        <v>51</v>
      </c>
      <c r="C72" s="43" t="s">
        <v>56</v>
      </c>
      <c r="D72" s="43" t="s">
        <v>686</v>
      </c>
      <c r="E72" s="43"/>
      <c r="F72" s="94">
        <f>F73</f>
        <v>1500</v>
      </c>
      <c r="G72" s="94">
        <f>G73</f>
        <v>1500</v>
      </c>
      <c r="H72" s="94">
        <f>H73</f>
        <v>1500</v>
      </c>
    </row>
    <row r="73" spans="1:8" ht="31.5">
      <c r="A73" s="40" t="s">
        <v>96</v>
      </c>
      <c r="B73" s="43" t="s">
        <v>51</v>
      </c>
      <c r="C73" s="43" t="s">
        <v>56</v>
      </c>
      <c r="D73" s="43" t="s">
        <v>686</v>
      </c>
      <c r="E73" s="43" t="s">
        <v>97</v>
      </c>
      <c r="F73" s="94">
        <v>1500</v>
      </c>
      <c r="G73" s="94">
        <v>1500</v>
      </c>
      <c r="H73" s="94">
        <v>1500</v>
      </c>
    </row>
    <row r="74" spans="1:8" ht="15.75">
      <c r="A74" s="37" t="s">
        <v>280</v>
      </c>
      <c r="B74" s="123" t="s">
        <v>51</v>
      </c>
      <c r="C74" s="123" t="s">
        <v>69</v>
      </c>
      <c r="D74" s="123"/>
      <c r="E74" s="123"/>
      <c r="F74" s="157">
        <f aca="true" t="shared" si="5" ref="F74:H76">F75</f>
        <v>0.5</v>
      </c>
      <c r="G74" s="157">
        <f t="shared" si="5"/>
        <v>0.5</v>
      </c>
      <c r="H74" s="157">
        <f t="shared" si="5"/>
        <v>0.5</v>
      </c>
    </row>
    <row r="75" spans="1:8" ht="31.5">
      <c r="A75" s="37" t="s">
        <v>281</v>
      </c>
      <c r="B75" s="123" t="s">
        <v>51</v>
      </c>
      <c r="C75" s="123" t="s">
        <v>69</v>
      </c>
      <c r="D75" s="123" t="s">
        <v>282</v>
      </c>
      <c r="E75" s="123"/>
      <c r="F75" s="157">
        <f t="shared" si="5"/>
        <v>0.5</v>
      </c>
      <c r="G75" s="157">
        <f t="shared" si="5"/>
        <v>0.5</v>
      </c>
      <c r="H75" s="157">
        <f t="shared" si="5"/>
        <v>0.5</v>
      </c>
    </row>
    <row r="76" spans="1:8" ht="78.75">
      <c r="A76" s="158" t="s">
        <v>505</v>
      </c>
      <c r="B76" s="123" t="s">
        <v>51</v>
      </c>
      <c r="C76" s="123" t="s">
        <v>69</v>
      </c>
      <c r="D76" s="123" t="s">
        <v>283</v>
      </c>
      <c r="E76" s="123"/>
      <c r="F76" s="157">
        <f t="shared" si="5"/>
        <v>0.5</v>
      </c>
      <c r="G76" s="157">
        <f t="shared" si="5"/>
        <v>0.5</v>
      </c>
      <c r="H76" s="157">
        <f t="shared" si="5"/>
        <v>0.5</v>
      </c>
    </row>
    <row r="77" spans="1:8" ht="47.25">
      <c r="A77" s="37" t="s">
        <v>20</v>
      </c>
      <c r="B77" s="123" t="s">
        <v>51</v>
      </c>
      <c r="C77" s="123" t="s">
        <v>69</v>
      </c>
      <c r="D77" s="123" t="s">
        <v>283</v>
      </c>
      <c r="E77" s="123" t="s">
        <v>100</v>
      </c>
      <c r="F77" s="59">
        <v>0.5</v>
      </c>
      <c r="G77" s="59">
        <v>0.5</v>
      </c>
      <c r="H77" s="59">
        <v>0.5</v>
      </c>
    </row>
    <row r="78" spans="1:8" ht="47.25">
      <c r="A78" s="124" t="s">
        <v>57</v>
      </c>
      <c r="B78" s="43" t="s">
        <v>51</v>
      </c>
      <c r="C78" s="43" t="s">
        <v>58</v>
      </c>
      <c r="D78" s="43"/>
      <c r="E78" s="43"/>
      <c r="F78" s="45">
        <f>F79</f>
        <v>12570.7</v>
      </c>
      <c r="G78" s="45">
        <f>G79</f>
        <v>12590.7</v>
      </c>
      <c r="H78" s="45">
        <f>H79</f>
        <v>11390.7</v>
      </c>
    </row>
    <row r="79" spans="1:8" ht="63">
      <c r="A79" s="40" t="s">
        <v>687</v>
      </c>
      <c r="B79" s="43" t="s">
        <v>51</v>
      </c>
      <c r="C79" s="43" t="s">
        <v>58</v>
      </c>
      <c r="D79" s="43" t="s">
        <v>566</v>
      </c>
      <c r="E79" s="43"/>
      <c r="F79" s="59">
        <f>F80+F87</f>
        <v>12570.7</v>
      </c>
      <c r="G79" s="59">
        <f>G80+G87</f>
        <v>12590.7</v>
      </c>
      <c r="H79" s="59">
        <f>H80+H87</f>
        <v>11390.7</v>
      </c>
    </row>
    <row r="80" spans="1:8" ht="59.25" customHeight="1">
      <c r="A80" s="40" t="s">
        <v>695</v>
      </c>
      <c r="B80" s="43" t="s">
        <v>51</v>
      </c>
      <c r="C80" s="43" t="s">
        <v>58</v>
      </c>
      <c r="D80" s="43" t="s">
        <v>605</v>
      </c>
      <c r="E80" s="43"/>
      <c r="F80" s="59">
        <f>F81</f>
        <v>1990.0000000000002</v>
      </c>
      <c r="G80" s="59">
        <f>G81</f>
        <v>1990</v>
      </c>
      <c r="H80" s="59">
        <f>H81</f>
        <v>1890</v>
      </c>
    </row>
    <row r="81" spans="1:8" ht="47.25">
      <c r="A81" s="40" t="s">
        <v>696</v>
      </c>
      <c r="B81" s="43" t="s">
        <v>51</v>
      </c>
      <c r="C81" s="43" t="s">
        <v>58</v>
      </c>
      <c r="D81" s="43" t="s">
        <v>606</v>
      </c>
      <c r="E81" s="43"/>
      <c r="F81" s="45">
        <f>F82+F85</f>
        <v>1990.0000000000002</v>
      </c>
      <c r="G81" s="45">
        <f>G82+G85</f>
        <v>1990</v>
      </c>
      <c r="H81" s="45">
        <f>H82+H85</f>
        <v>1890</v>
      </c>
    </row>
    <row r="82" spans="1:8" ht="31.5">
      <c r="A82" s="40" t="s">
        <v>99</v>
      </c>
      <c r="B82" s="43" t="s">
        <v>51</v>
      </c>
      <c r="C82" s="43" t="s">
        <v>58</v>
      </c>
      <c r="D82" s="42" t="s">
        <v>607</v>
      </c>
      <c r="E82" s="43"/>
      <c r="F82" s="45">
        <f>F83+F84</f>
        <v>1700.7000000000003</v>
      </c>
      <c r="G82" s="45">
        <f>G83+G84</f>
        <v>1700.7</v>
      </c>
      <c r="H82" s="45">
        <f>H83+H84</f>
        <v>1600.7</v>
      </c>
    </row>
    <row r="83" spans="1:8" ht="31.5">
      <c r="A83" s="40" t="s">
        <v>96</v>
      </c>
      <c r="B83" s="43" t="s">
        <v>51</v>
      </c>
      <c r="C83" s="43" t="s">
        <v>58</v>
      </c>
      <c r="D83" s="42" t="s">
        <v>607</v>
      </c>
      <c r="E83" s="43" t="s">
        <v>97</v>
      </c>
      <c r="F83" s="45">
        <v>1524.6000000000001</v>
      </c>
      <c r="G83" s="45">
        <f>1782.7-289.3</f>
        <v>1493.4</v>
      </c>
      <c r="H83" s="45">
        <f>1782.7-289.3</f>
        <v>1493.4</v>
      </c>
    </row>
    <row r="84" spans="1:8" ht="47.25">
      <c r="A84" s="40" t="s">
        <v>20</v>
      </c>
      <c r="B84" s="43" t="s">
        <v>51</v>
      </c>
      <c r="C84" s="43" t="s">
        <v>58</v>
      </c>
      <c r="D84" s="42" t="s">
        <v>607</v>
      </c>
      <c r="E84" s="43" t="s">
        <v>100</v>
      </c>
      <c r="F84" s="45">
        <v>176.10000000000002</v>
      </c>
      <c r="G84" s="45">
        <v>207.3</v>
      </c>
      <c r="H84" s="45">
        <f>207.3-100</f>
        <v>107.30000000000001</v>
      </c>
    </row>
    <row r="85" spans="1:8" ht="47.25">
      <c r="A85" s="40" t="s">
        <v>462</v>
      </c>
      <c r="B85" s="43" t="s">
        <v>51</v>
      </c>
      <c r="C85" s="43" t="s">
        <v>58</v>
      </c>
      <c r="D85" s="43" t="s">
        <v>608</v>
      </c>
      <c r="E85" s="43"/>
      <c r="F85" s="59">
        <f>F86</f>
        <v>289.3</v>
      </c>
      <c r="G85" s="59">
        <f>G86</f>
        <v>289.3</v>
      </c>
      <c r="H85" s="59">
        <f>H86</f>
        <v>289.3</v>
      </c>
    </row>
    <row r="86" spans="1:8" ht="31.5">
      <c r="A86" s="37" t="s">
        <v>96</v>
      </c>
      <c r="B86" s="43" t="s">
        <v>51</v>
      </c>
      <c r="C86" s="43" t="s">
        <v>58</v>
      </c>
      <c r="D86" s="43" t="s">
        <v>608</v>
      </c>
      <c r="E86" s="43" t="s">
        <v>97</v>
      </c>
      <c r="F86" s="59">
        <v>289.3</v>
      </c>
      <c r="G86" s="59">
        <v>289.3</v>
      </c>
      <c r="H86" s="59">
        <v>289.3</v>
      </c>
    </row>
    <row r="87" spans="1:8" ht="63">
      <c r="A87" s="40" t="s">
        <v>697</v>
      </c>
      <c r="B87" s="43" t="s">
        <v>51</v>
      </c>
      <c r="C87" s="43" t="s">
        <v>58</v>
      </c>
      <c r="D87" s="43" t="s">
        <v>669</v>
      </c>
      <c r="E87" s="74"/>
      <c r="F87" s="94">
        <f>F88</f>
        <v>10580.7</v>
      </c>
      <c r="G87" s="94">
        <f>G88</f>
        <v>10600.7</v>
      </c>
      <c r="H87" s="94">
        <f>H88</f>
        <v>9500.7</v>
      </c>
    </row>
    <row r="88" spans="1:8" ht="63">
      <c r="A88" s="40" t="s">
        <v>670</v>
      </c>
      <c r="B88" s="43" t="s">
        <v>51</v>
      </c>
      <c r="C88" s="43" t="s">
        <v>58</v>
      </c>
      <c r="D88" s="43" t="s">
        <v>671</v>
      </c>
      <c r="E88" s="74"/>
      <c r="F88" s="94">
        <f>F89+F94</f>
        <v>10580.7</v>
      </c>
      <c r="G88" s="94">
        <f>G89+G94</f>
        <v>10600.7</v>
      </c>
      <c r="H88" s="94">
        <f>H89+H94</f>
        <v>9500.7</v>
      </c>
    </row>
    <row r="89" spans="1:8" ht="31.5">
      <c r="A89" s="40" t="s">
        <v>95</v>
      </c>
      <c r="B89" s="43" t="s">
        <v>51</v>
      </c>
      <c r="C89" s="43" t="s">
        <v>58</v>
      </c>
      <c r="D89" s="43" t="s">
        <v>672</v>
      </c>
      <c r="E89" s="43"/>
      <c r="F89" s="94">
        <f>F90+F91</f>
        <v>8412.2</v>
      </c>
      <c r="G89" s="94">
        <f>G90+G91</f>
        <v>8424.300000000001</v>
      </c>
      <c r="H89" s="94">
        <f>H90+H91</f>
        <v>7316.1</v>
      </c>
    </row>
    <row r="90" spans="1:8" ht="31.5">
      <c r="A90" s="40" t="s">
        <v>96</v>
      </c>
      <c r="B90" s="43" t="s">
        <v>51</v>
      </c>
      <c r="C90" s="43" t="s">
        <v>58</v>
      </c>
      <c r="D90" s="43" t="s">
        <v>672</v>
      </c>
      <c r="E90" s="43" t="s">
        <v>97</v>
      </c>
      <c r="F90" s="94">
        <v>7281.200000000001</v>
      </c>
      <c r="G90" s="94">
        <f>9230.7-2176.4</f>
        <v>7054.300000000001</v>
      </c>
      <c r="H90" s="94">
        <f>9230.7-2184.6</f>
        <v>7046.1</v>
      </c>
    </row>
    <row r="91" spans="1:8" ht="47.25">
      <c r="A91" s="40" t="s">
        <v>20</v>
      </c>
      <c r="B91" s="43" t="s">
        <v>51</v>
      </c>
      <c r="C91" s="43" t="s">
        <v>58</v>
      </c>
      <c r="D91" s="43" t="s">
        <v>672</v>
      </c>
      <c r="E91" s="43" t="s">
        <v>100</v>
      </c>
      <c r="F91" s="94">
        <v>1131</v>
      </c>
      <c r="G91" s="94">
        <f>1370</f>
        <v>1370</v>
      </c>
      <c r="H91" s="94">
        <f>1370-1100</f>
        <v>270</v>
      </c>
    </row>
    <row r="92" spans="1:8" ht="204.75" hidden="1">
      <c r="A92" s="40" t="s">
        <v>550</v>
      </c>
      <c r="B92" s="43" t="s">
        <v>51</v>
      </c>
      <c r="C92" s="43" t="s">
        <v>58</v>
      </c>
      <c r="D92" s="43" t="s">
        <v>673</v>
      </c>
      <c r="E92" s="43"/>
      <c r="F92" s="94">
        <f>F93</f>
        <v>0</v>
      </c>
      <c r="G92" s="94"/>
      <c r="H92" s="94"/>
    </row>
    <row r="93" spans="1:8" ht="31.5" hidden="1">
      <c r="A93" s="40" t="s">
        <v>96</v>
      </c>
      <c r="B93" s="43" t="s">
        <v>51</v>
      </c>
      <c r="C93" s="43" t="s">
        <v>58</v>
      </c>
      <c r="D93" s="43" t="s">
        <v>673</v>
      </c>
      <c r="E93" s="43" t="s">
        <v>97</v>
      </c>
      <c r="F93" s="94">
        <v>0</v>
      </c>
      <c r="G93" s="94"/>
      <c r="H93" s="94"/>
    </row>
    <row r="94" spans="1:8" ht="47.25">
      <c r="A94" s="40" t="s">
        <v>462</v>
      </c>
      <c r="B94" s="43" t="s">
        <v>51</v>
      </c>
      <c r="C94" s="43" t="s">
        <v>58</v>
      </c>
      <c r="D94" s="43" t="s">
        <v>674</v>
      </c>
      <c r="E94" s="43"/>
      <c r="F94" s="94">
        <f>F95</f>
        <v>2168.5</v>
      </c>
      <c r="G94" s="94">
        <f>G95</f>
        <v>2176.4</v>
      </c>
      <c r="H94" s="94">
        <f>H95</f>
        <v>2184.6</v>
      </c>
    </row>
    <row r="95" spans="1:8" ht="31.5">
      <c r="A95" s="40" t="s">
        <v>96</v>
      </c>
      <c r="B95" s="43" t="s">
        <v>51</v>
      </c>
      <c r="C95" s="43" t="s">
        <v>58</v>
      </c>
      <c r="D95" s="43" t="s">
        <v>674</v>
      </c>
      <c r="E95" s="43" t="s">
        <v>97</v>
      </c>
      <c r="F95" s="94">
        <v>2168.5</v>
      </c>
      <c r="G95" s="94">
        <v>2176.4</v>
      </c>
      <c r="H95" s="94">
        <v>2184.6</v>
      </c>
    </row>
    <row r="96" spans="1:8" ht="31.5" hidden="1">
      <c r="A96" s="37" t="s">
        <v>609</v>
      </c>
      <c r="B96" s="43" t="s">
        <v>51</v>
      </c>
      <c r="C96" s="43" t="s">
        <v>59</v>
      </c>
      <c r="D96" s="43"/>
      <c r="E96" s="43"/>
      <c r="F96" s="59">
        <f>F97</f>
        <v>0</v>
      </c>
      <c r="G96" s="45"/>
      <c r="H96" s="45"/>
    </row>
    <row r="97" spans="1:8" ht="15.75" hidden="1">
      <c r="A97" s="37" t="s">
        <v>614</v>
      </c>
      <c r="B97" s="43" t="s">
        <v>51</v>
      </c>
      <c r="C97" s="43" t="s">
        <v>59</v>
      </c>
      <c r="D97" s="43" t="s">
        <v>612</v>
      </c>
      <c r="E97" s="43"/>
      <c r="F97" s="59">
        <f>F98</f>
        <v>0</v>
      </c>
      <c r="G97" s="45"/>
      <c r="H97" s="45"/>
    </row>
    <row r="98" spans="1:8" ht="31.5" hidden="1">
      <c r="A98" s="37" t="s">
        <v>615</v>
      </c>
      <c r="B98" s="43" t="s">
        <v>51</v>
      </c>
      <c r="C98" s="43" t="s">
        <v>59</v>
      </c>
      <c r="D98" s="43" t="s">
        <v>613</v>
      </c>
      <c r="E98" s="43"/>
      <c r="F98" s="59">
        <f>F99</f>
        <v>0</v>
      </c>
      <c r="G98" s="45"/>
      <c r="H98" s="45"/>
    </row>
    <row r="99" spans="1:8" ht="15.75" hidden="1">
      <c r="A99" s="37" t="s">
        <v>611</v>
      </c>
      <c r="B99" s="43" t="s">
        <v>51</v>
      </c>
      <c r="C99" s="43" t="s">
        <v>59</v>
      </c>
      <c r="D99" s="43" t="s">
        <v>613</v>
      </c>
      <c r="E99" s="43" t="s">
        <v>610</v>
      </c>
      <c r="F99" s="59">
        <v>0</v>
      </c>
      <c r="G99" s="45"/>
      <c r="H99" s="45"/>
    </row>
    <row r="100" spans="1:8" ht="15.75">
      <c r="A100" s="40" t="s">
        <v>214</v>
      </c>
      <c r="B100" s="43" t="s">
        <v>51</v>
      </c>
      <c r="C100" s="43" t="s">
        <v>61</v>
      </c>
      <c r="D100" s="43"/>
      <c r="E100" s="43"/>
      <c r="F100" s="45">
        <f aca="true" t="shared" si="6" ref="F100:H102">F101</f>
        <v>74.79999999999998</v>
      </c>
      <c r="G100" s="45">
        <f t="shared" si="6"/>
        <v>425.4</v>
      </c>
      <c r="H100" s="45">
        <f t="shared" si="6"/>
        <v>425.4</v>
      </c>
    </row>
    <row r="101" spans="1:8" ht="15.75">
      <c r="A101" s="40" t="s">
        <v>214</v>
      </c>
      <c r="B101" s="43" t="s">
        <v>51</v>
      </c>
      <c r="C101" s="43" t="s">
        <v>61</v>
      </c>
      <c r="D101" s="43" t="s">
        <v>372</v>
      </c>
      <c r="E101" s="43"/>
      <c r="F101" s="45">
        <f t="shared" si="6"/>
        <v>74.79999999999998</v>
      </c>
      <c r="G101" s="45">
        <f t="shared" si="6"/>
        <v>425.4</v>
      </c>
      <c r="H101" s="45">
        <f t="shared" si="6"/>
        <v>425.4</v>
      </c>
    </row>
    <row r="102" spans="1:8" ht="15.75">
      <c r="A102" s="40" t="s">
        <v>215</v>
      </c>
      <c r="B102" s="43" t="s">
        <v>51</v>
      </c>
      <c r="C102" s="43" t="s">
        <v>61</v>
      </c>
      <c r="D102" s="43" t="s">
        <v>373</v>
      </c>
      <c r="E102" s="43"/>
      <c r="F102" s="45">
        <f t="shared" si="6"/>
        <v>74.79999999999998</v>
      </c>
      <c r="G102" s="45">
        <f t="shared" si="6"/>
        <v>425.4</v>
      </c>
      <c r="H102" s="45">
        <f t="shared" si="6"/>
        <v>425.4</v>
      </c>
    </row>
    <row r="103" spans="1:8" ht="15.75">
      <c r="A103" s="40" t="s">
        <v>216</v>
      </c>
      <c r="B103" s="43" t="s">
        <v>51</v>
      </c>
      <c r="C103" s="43" t="s">
        <v>61</v>
      </c>
      <c r="D103" s="43" t="s">
        <v>373</v>
      </c>
      <c r="E103" s="43" t="s">
        <v>217</v>
      </c>
      <c r="F103" s="59">
        <v>74.79999999999998</v>
      </c>
      <c r="G103" s="59">
        <f>500-74.6</f>
        <v>425.4</v>
      </c>
      <c r="H103" s="59">
        <f>500-74.6</f>
        <v>425.4</v>
      </c>
    </row>
    <row r="104" spans="1:8" ht="15.75">
      <c r="A104" s="40" t="s">
        <v>62</v>
      </c>
      <c r="B104" s="43" t="s">
        <v>51</v>
      </c>
      <c r="C104" s="43" t="s">
        <v>63</v>
      </c>
      <c r="D104" s="43"/>
      <c r="E104" s="43"/>
      <c r="F104" s="45">
        <f>F105+F112+F128+F162+F170+F133+F159+F139</f>
        <v>43728.7</v>
      </c>
      <c r="G104" s="45">
        <f>G105+G112+G128+G162+G170+G133+G159+G139</f>
        <v>42351</v>
      </c>
      <c r="H104" s="45">
        <f>H105+H112+H128+H162+H170+H133+H159+H139</f>
        <v>42374.2</v>
      </c>
    </row>
    <row r="105" spans="1:8" ht="63">
      <c r="A105" s="40" t="s">
        <v>724</v>
      </c>
      <c r="B105" s="43" t="s">
        <v>51</v>
      </c>
      <c r="C105" s="43" t="s">
        <v>63</v>
      </c>
      <c r="D105" s="43" t="s">
        <v>174</v>
      </c>
      <c r="E105" s="43"/>
      <c r="F105" s="45">
        <f aca="true" t="shared" si="7" ref="F105:H108">F106</f>
        <v>11998.2</v>
      </c>
      <c r="G105" s="45">
        <f t="shared" si="7"/>
        <v>12000</v>
      </c>
      <c r="H105" s="45">
        <f t="shared" si="7"/>
        <v>12000</v>
      </c>
    </row>
    <row r="106" spans="1:8" ht="78.75">
      <c r="A106" s="40" t="s">
        <v>934</v>
      </c>
      <c r="B106" s="43" t="s">
        <v>51</v>
      </c>
      <c r="C106" s="43" t="s">
        <v>63</v>
      </c>
      <c r="D106" s="43" t="s">
        <v>256</v>
      </c>
      <c r="E106" s="43"/>
      <c r="F106" s="45">
        <f>F107+F110</f>
        <v>11998.2</v>
      </c>
      <c r="G106" s="45">
        <f>G107+G110</f>
        <v>12000</v>
      </c>
      <c r="H106" s="45">
        <f>H107+H110</f>
        <v>12000</v>
      </c>
    </row>
    <row r="107" spans="1:8" ht="31.5">
      <c r="A107" s="40" t="s">
        <v>935</v>
      </c>
      <c r="B107" s="43" t="s">
        <v>51</v>
      </c>
      <c r="C107" s="43" t="s">
        <v>63</v>
      </c>
      <c r="D107" s="43" t="s">
        <v>255</v>
      </c>
      <c r="E107" s="43"/>
      <c r="F107" s="45">
        <f t="shared" si="7"/>
        <v>7173.3</v>
      </c>
      <c r="G107" s="45">
        <f t="shared" si="7"/>
        <v>7003.6</v>
      </c>
      <c r="H107" s="45">
        <f t="shared" si="7"/>
        <v>6826.1</v>
      </c>
    </row>
    <row r="108" spans="1:8" ht="15.75">
      <c r="A108" s="40" t="s">
        <v>936</v>
      </c>
      <c r="B108" s="43" t="s">
        <v>51</v>
      </c>
      <c r="C108" s="43" t="s">
        <v>63</v>
      </c>
      <c r="D108" s="43" t="s">
        <v>257</v>
      </c>
      <c r="E108" s="43"/>
      <c r="F108" s="45">
        <f>F109</f>
        <v>7173.3</v>
      </c>
      <c r="G108" s="45">
        <f t="shared" si="7"/>
        <v>7003.6</v>
      </c>
      <c r="H108" s="45">
        <f t="shared" si="7"/>
        <v>6826.1</v>
      </c>
    </row>
    <row r="109" spans="1:8" ht="15.75">
      <c r="A109" s="125" t="s">
        <v>110</v>
      </c>
      <c r="B109" s="43" t="s">
        <v>51</v>
      </c>
      <c r="C109" s="43" t="s">
        <v>63</v>
      </c>
      <c r="D109" s="43" t="s">
        <v>257</v>
      </c>
      <c r="E109" s="43" t="s">
        <v>111</v>
      </c>
      <c r="F109" s="94">
        <v>7173.3</v>
      </c>
      <c r="G109" s="94">
        <f>12000-4996.4</f>
        <v>7003.6</v>
      </c>
      <c r="H109" s="94">
        <f>12000-5173.9</f>
        <v>6826.1</v>
      </c>
    </row>
    <row r="110" spans="1:8" ht="47.25">
      <c r="A110" s="40" t="s">
        <v>462</v>
      </c>
      <c r="B110" s="43" t="s">
        <v>51</v>
      </c>
      <c r="C110" s="43" t="s">
        <v>63</v>
      </c>
      <c r="D110" s="43" t="s">
        <v>463</v>
      </c>
      <c r="E110" s="43"/>
      <c r="F110" s="59">
        <f>F111</f>
        <v>4824.9</v>
      </c>
      <c r="G110" s="59">
        <f>G111</f>
        <v>4996.4</v>
      </c>
      <c r="H110" s="59">
        <f>H111</f>
        <v>5173.9</v>
      </c>
    </row>
    <row r="111" spans="1:8" ht="15.75">
      <c r="A111" s="125" t="s">
        <v>110</v>
      </c>
      <c r="B111" s="43" t="s">
        <v>51</v>
      </c>
      <c r="C111" s="43" t="s">
        <v>63</v>
      </c>
      <c r="D111" s="43" t="s">
        <v>463</v>
      </c>
      <c r="E111" s="43" t="s">
        <v>111</v>
      </c>
      <c r="F111" s="59">
        <v>4824.9</v>
      </c>
      <c r="G111" s="94">
        <v>4996.4</v>
      </c>
      <c r="H111" s="94">
        <v>5173.9</v>
      </c>
    </row>
    <row r="112" spans="1:8" ht="68.25" customHeight="1">
      <c r="A112" s="40" t="s">
        <v>825</v>
      </c>
      <c r="B112" s="43" t="s">
        <v>51</v>
      </c>
      <c r="C112" s="43" t="s">
        <v>63</v>
      </c>
      <c r="D112" s="43" t="s">
        <v>334</v>
      </c>
      <c r="E112" s="43"/>
      <c r="F112" s="94">
        <f>F113+F119</f>
        <v>5522.6</v>
      </c>
      <c r="G112" s="94">
        <f>G113+G119</f>
        <v>5034</v>
      </c>
      <c r="H112" s="94">
        <f>H113+H119</f>
        <v>5034</v>
      </c>
    </row>
    <row r="113" spans="1:8" ht="31.5">
      <c r="A113" s="40" t="s">
        <v>826</v>
      </c>
      <c r="B113" s="43" t="s">
        <v>51</v>
      </c>
      <c r="C113" s="43" t="s">
        <v>63</v>
      </c>
      <c r="D113" s="43" t="s">
        <v>335</v>
      </c>
      <c r="E113" s="43"/>
      <c r="F113" s="94">
        <f>F114</f>
        <v>3819.2000000000003</v>
      </c>
      <c r="G113" s="45">
        <f aca="true" t="shared" si="8" ref="F113:H115">G114</f>
        <v>3334</v>
      </c>
      <c r="H113" s="45">
        <f t="shared" si="8"/>
        <v>3334</v>
      </c>
    </row>
    <row r="114" spans="1:8" ht="47.25">
      <c r="A114" s="40" t="s">
        <v>827</v>
      </c>
      <c r="B114" s="43" t="s">
        <v>51</v>
      </c>
      <c r="C114" s="43" t="s">
        <v>63</v>
      </c>
      <c r="D114" s="43" t="s">
        <v>336</v>
      </c>
      <c r="E114" s="43"/>
      <c r="F114" s="94">
        <f t="shared" si="8"/>
        <v>3819.2000000000003</v>
      </c>
      <c r="G114" s="45">
        <f t="shared" si="8"/>
        <v>3334</v>
      </c>
      <c r="H114" s="45">
        <f t="shared" si="8"/>
        <v>3334</v>
      </c>
    </row>
    <row r="115" spans="1:8" ht="15.75">
      <c r="A115" s="40" t="s">
        <v>223</v>
      </c>
      <c r="B115" s="43" t="s">
        <v>51</v>
      </c>
      <c r="C115" s="43" t="s">
        <v>63</v>
      </c>
      <c r="D115" s="43" t="s">
        <v>337</v>
      </c>
      <c r="E115" s="43"/>
      <c r="F115" s="94">
        <f>F116+F117+F118</f>
        <v>3819.2000000000003</v>
      </c>
      <c r="G115" s="94">
        <f>G116</f>
        <v>3334</v>
      </c>
      <c r="H115" s="94">
        <f t="shared" si="8"/>
        <v>3334</v>
      </c>
    </row>
    <row r="116" spans="1:8" ht="47.25">
      <c r="A116" s="40" t="s">
        <v>20</v>
      </c>
      <c r="B116" s="43" t="s">
        <v>51</v>
      </c>
      <c r="C116" s="43" t="s">
        <v>63</v>
      </c>
      <c r="D116" s="43" t="s">
        <v>337</v>
      </c>
      <c r="E116" s="43" t="s">
        <v>100</v>
      </c>
      <c r="F116" s="94">
        <f>3334+155.3-0.1+250+70-3.7</f>
        <v>3805.5000000000005</v>
      </c>
      <c r="G116" s="94">
        <v>3334</v>
      </c>
      <c r="H116" s="94">
        <v>3334</v>
      </c>
    </row>
    <row r="117" spans="1:8" ht="15.75">
      <c r="A117" s="40" t="s">
        <v>992</v>
      </c>
      <c r="B117" s="43" t="s">
        <v>51</v>
      </c>
      <c r="C117" s="43" t="s">
        <v>63</v>
      </c>
      <c r="D117" s="43" t="s">
        <v>337</v>
      </c>
      <c r="E117" s="43" t="s">
        <v>991</v>
      </c>
      <c r="F117" s="94">
        <v>13.6</v>
      </c>
      <c r="G117" s="94"/>
      <c r="H117" s="94"/>
    </row>
    <row r="118" spans="1:8" ht="15.75">
      <c r="A118" s="40" t="s">
        <v>21</v>
      </c>
      <c r="B118" s="43" t="s">
        <v>51</v>
      </c>
      <c r="C118" s="43" t="s">
        <v>63</v>
      </c>
      <c r="D118" s="43" t="s">
        <v>337</v>
      </c>
      <c r="E118" s="43" t="s">
        <v>101</v>
      </c>
      <c r="F118" s="94">
        <f>0.1+0.4-0.4</f>
        <v>0.09999999999999998</v>
      </c>
      <c r="G118" s="94"/>
      <c r="H118" s="94"/>
    </row>
    <row r="119" spans="1:8" ht="137.25" customHeight="1">
      <c r="A119" s="40" t="s">
        <v>830</v>
      </c>
      <c r="B119" s="43" t="s">
        <v>51</v>
      </c>
      <c r="C119" s="43" t="s">
        <v>63</v>
      </c>
      <c r="D119" s="43" t="s">
        <v>342</v>
      </c>
      <c r="E119" s="43"/>
      <c r="F119" s="94">
        <f>F120+F123</f>
        <v>1703.4</v>
      </c>
      <c r="G119" s="94">
        <f>G120+G123</f>
        <v>1700</v>
      </c>
      <c r="H119" s="94">
        <f>H120+H123</f>
        <v>1700</v>
      </c>
    </row>
    <row r="120" spans="1:8" ht="63">
      <c r="A120" s="40" t="s">
        <v>831</v>
      </c>
      <c r="B120" s="43" t="s">
        <v>51</v>
      </c>
      <c r="C120" s="43" t="s">
        <v>63</v>
      </c>
      <c r="D120" s="43" t="s">
        <v>343</v>
      </c>
      <c r="E120" s="43"/>
      <c r="F120" s="94">
        <f>F121</f>
        <v>1300</v>
      </c>
      <c r="G120" s="94">
        <f aca="true" t="shared" si="9" ref="F120:H121">G121</f>
        <v>1300</v>
      </c>
      <c r="H120" s="94">
        <f t="shared" si="9"/>
        <v>1300</v>
      </c>
    </row>
    <row r="121" spans="1:8" ht="15.75">
      <c r="A121" s="40" t="s">
        <v>223</v>
      </c>
      <c r="B121" s="43" t="s">
        <v>51</v>
      </c>
      <c r="C121" s="43" t="s">
        <v>63</v>
      </c>
      <c r="D121" s="43" t="s">
        <v>344</v>
      </c>
      <c r="E121" s="43"/>
      <c r="F121" s="94">
        <f t="shared" si="9"/>
        <v>1300</v>
      </c>
      <c r="G121" s="45">
        <f t="shared" si="9"/>
        <v>1300</v>
      </c>
      <c r="H121" s="45">
        <f t="shared" si="9"/>
        <v>1300</v>
      </c>
    </row>
    <row r="122" spans="1:8" ht="47.25">
      <c r="A122" s="40" t="s">
        <v>20</v>
      </c>
      <c r="B122" s="43" t="s">
        <v>51</v>
      </c>
      <c r="C122" s="43" t="s">
        <v>63</v>
      </c>
      <c r="D122" s="43" t="s">
        <v>344</v>
      </c>
      <c r="E122" s="43" t="s">
        <v>100</v>
      </c>
      <c r="F122" s="94">
        <v>1300</v>
      </c>
      <c r="G122" s="94">
        <v>1300</v>
      </c>
      <c r="H122" s="94">
        <v>1300</v>
      </c>
    </row>
    <row r="123" spans="1:8" ht="63">
      <c r="A123" s="40" t="s">
        <v>832</v>
      </c>
      <c r="B123" s="43" t="s">
        <v>51</v>
      </c>
      <c r="C123" s="43" t="s">
        <v>63</v>
      </c>
      <c r="D123" s="43" t="s">
        <v>515</v>
      </c>
      <c r="E123" s="43"/>
      <c r="F123" s="94">
        <f aca="true" t="shared" si="10" ref="F123:H124">F124</f>
        <v>403.4</v>
      </c>
      <c r="G123" s="45">
        <f t="shared" si="10"/>
        <v>400</v>
      </c>
      <c r="H123" s="45">
        <f t="shared" si="10"/>
        <v>400</v>
      </c>
    </row>
    <row r="124" spans="1:8" ht="47.25">
      <c r="A124" s="40" t="s">
        <v>224</v>
      </c>
      <c r="B124" s="43" t="s">
        <v>51</v>
      </c>
      <c r="C124" s="43" t="s">
        <v>63</v>
      </c>
      <c r="D124" s="43" t="s">
        <v>516</v>
      </c>
      <c r="E124" s="43"/>
      <c r="F124" s="94">
        <f>F125+F126+F127</f>
        <v>403.4</v>
      </c>
      <c r="G124" s="45">
        <f t="shared" si="10"/>
        <v>400</v>
      </c>
      <c r="H124" s="45">
        <f t="shared" si="10"/>
        <v>400</v>
      </c>
    </row>
    <row r="125" spans="1:8" ht="47.25">
      <c r="A125" s="40" t="s">
        <v>20</v>
      </c>
      <c r="B125" s="43" t="s">
        <v>51</v>
      </c>
      <c r="C125" s="43" t="s">
        <v>63</v>
      </c>
      <c r="D125" s="43" t="s">
        <v>516</v>
      </c>
      <c r="E125" s="43" t="s">
        <v>100</v>
      </c>
      <c r="F125" s="94">
        <f>375-54</f>
        <v>321</v>
      </c>
      <c r="G125" s="94">
        <v>400</v>
      </c>
      <c r="H125" s="94">
        <v>400</v>
      </c>
    </row>
    <row r="126" spans="1:8" ht="15.75">
      <c r="A126" s="40" t="s">
        <v>992</v>
      </c>
      <c r="B126" s="43" t="s">
        <v>51</v>
      </c>
      <c r="C126" s="43" t="s">
        <v>63</v>
      </c>
      <c r="D126" s="43" t="s">
        <v>516</v>
      </c>
      <c r="E126" s="43" t="s">
        <v>991</v>
      </c>
      <c r="F126" s="94">
        <f>4.2+54</f>
        <v>58.2</v>
      </c>
      <c r="G126" s="94">
        <v>0</v>
      </c>
      <c r="H126" s="94">
        <v>0</v>
      </c>
    </row>
    <row r="127" spans="1:8" ht="18.75" customHeight="1">
      <c r="A127" s="40" t="s">
        <v>21</v>
      </c>
      <c r="B127" s="43" t="s">
        <v>51</v>
      </c>
      <c r="C127" s="43" t="s">
        <v>63</v>
      </c>
      <c r="D127" s="43" t="s">
        <v>516</v>
      </c>
      <c r="E127" s="43" t="s">
        <v>101</v>
      </c>
      <c r="F127" s="94">
        <f>25-0.8</f>
        <v>24.2</v>
      </c>
      <c r="G127" s="94"/>
      <c r="H127" s="94"/>
    </row>
    <row r="128" spans="1:8" ht="31.5">
      <c r="A128" s="37" t="s">
        <v>738</v>
      </c>
      <c r="B128" s="43" t="s">
        <v>51</v>
      </c>
      <c r="C128" s="43" t="s">
        <v>63</v>
      </c>
      <c r="D128" s="43" t="s">
        <v>132</v>
      </c>
      <c r="E128" s="43"/>
      <c r="F128" s="45">
        <f aca="true" t="shared" si="11" ref="F128:H131">F129</f>
        <v>408</v>
      </c>
      <c r="G128" s="45">
        <f t="shared" si="11"/>
        <v>348</v>
      </c>
      <c r="H128" s="45">
        <f t="shared" si="11"/>
        <v>348</v>
      </c>
    </row>
    <row r="129" spans="1:8" ht="31.5">
      <c r="A129" s="37" t="s">
        <v>233</v>
      </c>
      <c r="B129" s="43" t="s">
        <v>51</v>
      </c>
      <c r="C129" s="43" t="s">
        <v>63</v>
      </c>
      <c r="D129" s="43" t="s">
        <v>241</v>
      </c>
      <c r="E129" s="43"/>
      <c r="F129" s="45">
        <f t="shared" si="11"/>
        <v>408</v>
      </c>
      <c r="G129" s="45">
        <f t="shared" si="11"/>
        <v>348</v>
      </c>
      <c r="H129" s="45">
        <f t="shared" si="11"/>
        <v>348</v>
      </c>
    </row>
    <row r="130" spans="1:8" ht="63">
      <c r="A130" s="40" t="s">
        <v>237</v>
      </c>
      <c r="B130" s="43" t="s">
        <v>51</v>
      </c>
      <c r="C130" s="43" t="s">
        <v>63</v>
      </c>
      <c r="D130" s="43" t="s">
        <v>239</v>
      </c>
      <c r="E130" s="43"/>
      <c r="F130" s="45">
        <f t="shared" si="11"/>
        <v>408</v>
      </c>
      <c r="G130" s="45">
        <f t="shared" si="11"/>
        <v>348</v>
      </c>
      <c r="H130" s="45">
        <f t="shared" si="11"/>
        <v>348</v>
      </c>
    </row>
    <row r="131" spans="1:8" ht="15.75">
      <c r="A131" s="107" t="s">
        <v>220</v>
      </c>
      <c r="B131" s="43" t="s">
        <v>51</v>
      </c>
      <c r="C131" s="43" t="s">
        <v>63</v>
      </c>
      <c r="D131" s="43" t="s">
        <v>238</v>
      </c>
      <c r="E131" s="43"/>
      <c r="F131" s="45">
        <f t="shared" si="11"/>
        <v>408</v>
      </c>
      <c r="G131" s="45">
        <f t="shared" si="11"/>
        <v>348</v>
      </c>
      <c r="H131" s="45">
        <f t="shared" si="11"/>
        <v>348</v>
      </c>
    </row>
    <row r="132" spans="1:8" ht="15.75">
      <c r="A132" s="107" t="s">
        <v>146</v>
      </c>
      <c r="B132" s="43" t="s">
        <v>51</v>
      </c>
      <c r="C132" s="43" t="s">
        <v>63</v>
      </c>
      <c r="D132" s="43" t="s">
        <v>238</v>
      </c>
      <c r="E132" s="43" t="s">
        <v>145</v>
      </c>
      <c r="F132" s="45">
        <v>408</v>
      </c>
      <c r="G132" s="45">
        <v>348</v>
      </c>
      <c r="H132" s="45">
        <v>348</v>
      </c>
    </row>
    <row r="133" spans="1:8" ht="63">
      <c r="A133" s="40" t="s">
        <v>737</v>
      </c>
      <c r="B133" s="43" t="s">
        <v>51</v>
      </c>
      <c r="C133" s="43" t="s">
        <v>63</v>
      </c>
      <c r="D133" s="43" t="s">
        <v>480</v>
      </c>
      <c r="E133" s="43"/>
      <c r="F133" s="94">
        <f>F134</f>
        <v>321</v>
      </c>
      <c r="G133" s="94">
        <f>G134</f>
        <v>321</v>
      </c>
      <c r="H133" s="94">
        <f>H134</f>
        <v>321</v>
      </c>
    </row>
    <row r="134" spans="1:8" ht="47.25">
      <c r="A134" s="40" t="s">
        <v>479</v>
      </c>
      <c r="B134" s="43" t="s">
        <v>51</v>
      </c>
      <c r="C134" s="43" t="s">
        <v>63</v>
      </c>
      <c r="D134" s="43" t="s">
        <v>481</v>
      </c>
      <c r="E134" s="43"/>
      <c r="F134" s="59">
        <f>F135+F137</f>
        <v>321</v>
      </c>
      <c r="G134" s="59">
        <f>G135+G137</f>
        <v>321</v>
      </c>
      <c r="H134" s="59">
        <f>H135+H137</f>
        <v>321</v>
      </c>
    </row>
    <row r="135" spans="1:8" ht="31.5">
      <c r="A135" s="40" t="s">
        <v>218</v>
      </c>
      <c r="B135" s="43" t="s">
        <v>51</v>
      </c>
      <c r="C135" s="43" t="s">
        <v>63</v>
      </c>
      <c r="D135" s="43" t="s">
        <v>482</v>
      </c>
      <c r="E135" s="43"/>
      <c r="F135" s="59">
        <f>F136</f>
        <v>306</v>
      </c>
      <c r="G135" s="45">
        <f>G136</f>
        <v>306</v>
      </c>
      <c r="H135" s="45">
        <f>H136</f>
        <v>306</v>
      </c>
    </row>
    <row r="136" spans="1:8" ht="47.25">
      <c r="A136" s="40" t="s">
        <v>147</v>
      </c>
      <c r="B136" s="43" t="s">
        <v>51</v>
      </c>
      <c r="C136" s="43" t="s">
        <v>63</v>
      </c>
      <c r="D136" s="43" t="s">
        <v>482</v>
      </c>
      <c r="E136" s="43" t="s">
        <v>219</v>
      </c>
      <c r="F136" s="94">
        <f>271+35</f>
        <v>306</v>
      </c>
      <c r="G136" s="94">
        <f>271+35</f>
        <v>306</v>
      </c>
      <c r="H136" s="94">
        <f>271+35</f>
        <v>306</v>
      </c>
    </row>
    <row r="137" spans="1:8" ht="31.5">
      <c r="A137" s="37" t="s">
        <v>937</v>
      </c>
      <c r="B137" s="43" t="s">
        <v>51</v>
      </c>
      <c r="C137" s="43" t="s">
        <v>63</v>
      </c>
      <c r="D137" s="43" t="s">
        <v>483</v>
      </c>
      <c r="E137" s="43"/>
      <c r="F137" s="59">
        <f>F138</f>
        <v>15</v>
      </c>
      <c r="G137" s="45">
        <f>G138</f>
        <v>15</v>
      </c>
      <c r="H137" s="45">
        <f>H138</f>
        <v>15</v>
      </c>
    </row>
    <row r="138" spans="1:8" ht="47.25">
      <c r="A138" s="40" t="s">
        <v>20</v>
      </c>
      <c r="B138" s="43" t="s">
        <v>51</v>
      </c>
      <c r="C138" s="43" t="s">
        <v>63</v>
      </c>
      <c r="D138" s="43" t="s">
        <v>483</v>
      </c>
      <c r="E138" s="43" t="s">
        <v>100</v>
      </c>
      <c r="F138" s="59">
        <v>15</v>
      </c>
      <c r="G138" s="59">
        <v>15</v>
      </c>
      <c r="H138" s="59">
        <v>15</v>
      </c>
    </row>
    <row r="139" spans="1:8" ht="63">
      <c r="A139" s="40" t="s">
        <v>687</v>
      </c>
      <c r="B139" s="43" t="s">
        <v>51</v>
      </c>
      <c r="C139" s="43" t="s">
        <v>63</v>
      </c>
      <c r="D139" s="43" t="s">
        <v>566</v>
      </c>
      <c r="E139" s="43"/>
      <c r="F139" s="94">
        <f>F140+F151</f>
        <v>23951.1</v>
      </c>
      <c r="G139" s="94">
        <f>G140+G151</f>
        <v>23526.9</v>
      </c>
      <c r="H139" s="94">
        <f>H140+H151</f>
        <v>23535.1</v>
      </c>
    </row>
    <row r="140" spans="1:8" ht="43.5" customHeight="1">
      <c r="A140" s="40" t="s">
        <v>692</v>
      </c>
      <c r="B140" s="43" t="s">
        <v>51</v>
      </c>
      <c r="C140" s="43" t="s">
        <v>63</v>
      </c>
      <c r="D140" s="43" t="s">
        <v>580</v>
      </c>
      <c r="E140" s="74"/>
      <c r="F140" s="94">
        <f>F141</f>
        <v>4566.099999999999</v>
      </c>
      <c r="G140" s="94">
        <f>G141</f>
        <v>4136.9</v>
      </c>
      <c r="H140" s="94">
        <f>H141</f>
        <v>4145.099999999999</v>
      </c>
    </row>
    <row r="141" spans="1:8" ht="47.25">
      <c r="A141" s="40" t="s">
        <v>693</v>
      </c>
      <c r="B141" s="43" t="s">
        <v>51</v>
      </c>
      <c r="C141" s="43" t="s">
        <v>63</v>
      </c>
      <c r="D141" s="43" t="s">
        <v>587</v>
      </c>
      <c r="E141" s="74"/>
      <c r="F141" s="94">
        <f>F142+F146+F148</f>
        <v>4566.099999999999</v>
      </c>
      <c r="G141" s="94">
        <f>G142+G146+G148</f>
        <v>4136.9</v>
      </c>
      <c r="H141" s="94">
        <f>H142+H146+H148</f>
        <v>4145.099999999999</v>
      </c>
    </row>
    <row r="142" spans="1:8" ht="31.5">
      <c r="A142" s="37" t="s">
        <v>694</v>
      </c>
      <c r="B142" s="43" t="s">
        <v>51</v>
      </c>
      <c r="C142" s="43" t="s">
        <v>63</v>
      </c>
      <c r="D142" s="43" t="s">
        <v>588</v>
      </c>
      <c r="E142" s="43"/>
      <c r="F142" s="59">
        <f>F144+F143+F145</f>
        <v>600</v>
      </c>
      <c r="G142" s="59">
        <f>G144+G143+G145</f>
        <v>600</v>
      </c>
      <c r="H142" s="59">
        <f>H144+H143+H145</f>
        <v>600</v>
      </c>
    </row>
    <row r="143" spans="1:8" ht="31.5">
      <c r="A143" s="37" t="s">
        <v>229</v>
      </c>
      <c r="B143" s="43" t="s">
        <v>51</v>
      </c>
      <c r="C143" s="43" t="s">
        <v>63</v>
      </c>
      <c r="D143" s="43" t="s">
        <v>588</v>
      </c>
      <c r="E143" s="43" t="s">
        <v>230</v>
      </c>
      <c r="F143" s="94">
        <v>156</v>
      </c>
      <c r="G143" s="94">
        <v>156</v>
      </c>
      <c r="H143" s="94">
        <v>156</v>
      </c>
    </row>
    <row r="144" spans="1:8" ht="47.25">
      <c r="A144" s="40" t="s">
        <v>20</v>
      </c>
      <c r="B144" s="43" t="s">
        <v>51</v>
      </c>
      <c r="C144" s="43" t="s">
        <v>63</v>
      </c>
      <c r="D144" s="43" t="s">
        <v>588</v>
      </c>
      <c r="E144" s="43" t="s">
        <v>100</v>
      </c>
      <c r="F144" s="94">
        <v>361</v>
      </c>
      <c r="G144" s="94">
        <v>361</v>
      </c>
      <c r="H144" s="94">
        <v>361</v>
      </c>
    </row>
    <row r="145" spans="1:8" ht="15.75">
      <c r="A145" s="40" t="s">
        <v>21</v>
      </c>
      <c r="B145" s="43" t="s">
        <v>51</v>
      </c>
      <c r="C145" s="43" t="s">
        <v>63</v>
      </c>
      <c r="D145" s="43" t="s">
        <v>588</v>
      </c>
      <c r="E145" s="43" t="s">
        <v>101</v>
      </c>
      <c r="F145" s="94">
        <v>83</v>
      </c>
      <c r="G145" s="94">
        <v>83</v>
      </c>
      <c r="H145" s="94">
        <v>83</v>
      </c>
    </row>
    <row r="146" spans="1:8" ht="47.25">
      <c r="A146" s="40" t="s">
        <v>462</v>
      </c>
      <c r="B146" s="43" t="s">
        <v>51</v>
      </c>
      <c r="C146" s="43" t="s">
        <v>63</v>
      </c>
      <c r="D146" s="43" t="s">
        <v>589</v>
      </c>
      <c r="E146" s="43"/>
      <c r="F146" s="59">
        <f>F147</f>
        <v>94.3</v>
      </c>
      <c r="G146" s="59">
        <f>G147</f>
        <v>102.2</v>
      </c>
      <c r="H146" s="59">
        <f>H147</f>
        <v>110.4</v>
      </c>
    </row>
    <row r="147" spans="1:8" ht="31.5">
      <c r="A147" s="37" t="s">
        <v>229</v>
      </c>
      <c r="B147" s="43" t="s">
        <v>51</v>
      </c>
      <c r="C147" s="43" t="s">
        <v>63</v>
      </c>
      <c r="D147" s="43" t="s">
        <v>589</v>
      </c>
      <c r="E147" s="43" t="s">
        <v>230</v>
      </c>
      <c r="F147" s="94">
        <v>94.3</v>
      </c>
      <c r="G147" s="94">
        <v>102.2</v>
      </c>
      <c r="H147" s="94">
        <v>110.4</v>
      </c>
    </row>
    <row r="148" spans="1:8" ht="119.25" customHeight="1">
      <c r="A148" s="37" t="s">
        <v>144</v>
      </c>
      <c r="B148" s="43" t="s">
        <v>51</v>
      </c>
      <c r="C148" s="43" t="s">
        <v>63</v>
      </c>
      <c r="D148" s="43" t="s">
        <v>590</v>
      </c>
      <c r="E148" s="43"/>
      <c r="F148" s="59">
        <f>F149+F150</f>
        <v>3871.7999999999997</v>
      </c>
      <c r="G148" s="45">
        <f>G149+G150</f>
        <v>3434.7</v>
      </c>
      <c r="H148" s="45">
        <f>H149+H150</f>
        <v>3434.7</v>
      </c>
    </row>
    <row r="149" spans="1:8" ht="31.5">
      <c r="A149" s="37" t="s">
        <v>229</v>
      </c>
      <c r="B149" s="43" t="s">
        <v>51</v>
      </c>
      <c r="C149" s="43" t="s">
        <v>63</v>
      </c>
      <c r="D149" s="43" t="s">
        <v>590</v>
      </c>
      <c r="E149" s="43" t="s">
        <v>230</v>
      </c>
      <c r="F149" s="94">
        <v>3473.7999999999997</v>
      </c>
      <c r="G149" s="94">
        <v>3191.7</v>
      </c>
      <c r="H149" s="94">
        <v>3191.7</v>
      </c>
    </row>
    <row r="150" spans="1:8" ht="47.25">
      <c r="A150" s="40" t="s">
        <v>20</v>
      </c>
      <c r="B150" s="43" t="s">
        <v>51</v>
      </c>
      <c r="C150" s="43" t="s">
        <v>63</v>
      </c>
      <c r="D150" s="43" t="s">
        <v>590</v>
      </c>
      <c r="E150" s="43" t="s">
        <v>100</v>
      </c>
      <c r="F150" s="94">
        <v>398</v>
      </c>
      <c r="G150" s="94">
        <v>243</v>
      </c>
      <c r="H150" s="94">
        <v>243</v>
      </c>
    </row>
    <row r="151" spans="1:8" ht="78.75">
      <c r="A151" s="87" t="s">
        <v>698</v>
      </c>
      <c r="B151" s="43" t="s">
        <v>51</v>
      </c>
      <c r="C151" s="43" t="s">
        <v>63</v>
      </c>
      <c r="D151" s="43" t="s">
        <v>675</v>
      </c>
      <c r="E151" s="74"/>
      <c r="F151" s="94">
        <f>F152</f>
        <v>19385</v>
      </c>
      <c r="G151" s="94">
        <f>G152</f>
        <v>19390</v>
      </c>
      <c r="H151" s="94">
        <f>H152</f>
        <v>19390</v>
      </c>
    </row>
    <row r="152" spans="1:8" ht="94.5">
      <c r="A152" s="40" t="s">
        <v>699</v>
      </c>
      <c r="B152" s="43" t="s">
        <v>51</v>
      </c>
      <c r="C152" s="43" t="s">
        <v>63</v>
      </c>
      <c r="D152" s="43" t="s">
        <v>676</v>
      </c>
      <c r="E152" s="74"/>
      <c r="F152" s="94">
        <f>F153+F157</f>
        <v>19385</v>
      </c>
      <c r="G152" s="94">
        <f>G153+G157</f>
        <v>19390</v>
      </c>
      <c r="H152" s="94">
        <f>H153+H157</f>
        <v>19390</v>
      </c>
    </row>
    <row r="153" spans="1:8" ht="47.25">
      <c r="A153" s="37" t="s">
        <v>984</v>
      </c>
      <c r="B153" s="43" t="s">
        <v>51</v>
      </c>
      <c r="C153" s="43" t="s">
        <v>63</v>
      </c>
      <c r="D153" s="43" t="s">
        <v>677</v>
      </c>
      <c r="E153" s="43"/>
      <c r="F153" s="94">
        <f>F154+F155+F156</f>
        <v>13767.2</v>
      </c>
      <c r="G153" s="94">
        <f>G154+G155+G156</f>
        <v>13772.2</v>
      </c>
      <c r="H153" s="94">
        <f>H154+H155+H156</f>
        <v>13772.2</v>
      </c>
    </row>
    <row r="154" spans="1:8" ht="31.5">
      <c r="A154" s="37" t="s">
        <v>229</v>
      </c>
      <c r="B154" s="43" t="s">
        <v>51</v>
      </c>
      <c r="C154" s="43" t="s">
        <v>63</v>
      </c>
      <c r="D154" s="43" t="s">
        <v>677</v>
      </c>
      <c r="E154" s="43" t="s">
        <v>230</v>
      </c>
      <c r="F154" s="94">
        <f>17950-5617.8</f>
        <v>12332.2</v>
      </c>
      <c r="G154" s="94">
        <f>17950-5617.8</f>
        <v>12332.2</v>
      </c>
      <c r="H154" s="94">
        <f>17950-5617.8</f>
        <v>12332.2</v>
      </c>
    </row>
    <row r="155" spans="1:8" ht="47.25">
      <c r="A155" s="40" t="s">
        <v>20</v>
      </c>
      <c r="B155" s="43" t="s">
        <v>51</v>
      </c>
      <c r="C155" s="43" t="s">
        <v>63</v>
      </c>
      <c r="D155" s="43" t="s">
        <v>677</v>
      </c>
      <c r="E155" s="43" t="s">
        <v>100</v>
      </c>
      <c r="F155" s="94">
        <v>1425</v>
      </c>
      <c r="G155" s="94">
        <v>1430</v>
      </c>
      <c r="H155" s="94">
        <v>1430</v>
      </c>
    </row>
    <row r="156" spans="1:8" ht="15.75">
      <c r="A156" s="40" t="s">
        <v>21</v>
      </c>
      <c r="B156" s="43" t="s">
        <v>51</v>
      </c>
      <c r="C156" s="43" t="s">
        <v>63</v>
      </c>
      <c r="D156" s="43" t="s">
        <v>677</v>
      </c>
      <c r="E156" s="43" t="s">
        <v>101</v>
      </c>
      <c r="F156" s="94">
        <v>10</v>
      </c>
      <c r="G156" s="94">
        <v>10</v>
      </c>
      <c r="H156" s="94">
        <v>10</v>
      </c>
    </row>
    <row r="157" spans="1:8" ht="47.25">
      <c r="A157" s="40" t="s">
        <v>462</v>
      </c>
      <c r="B157" s="43" t="s">
        <v>51</v>
      </c>
      <c r="C157" s="43" t="s">
        <v>63</v>
      </c>
      <c r="D157" s="43" t="s">
        <v>678</v>
      </c>
      <c r="E157" s="43"/>
      <c r="F157" s="94">
        <f>F158</f>
        <v>5617.8</v>
      </c>
      <c r="G157" s="94">
        <f>G158</f>
        <v>5617.8</v>
      </c>
      <c r="H157" s="94">
        <f>H158</f>
        <v>5617.8</v>
      </c>
    </row>
    <row r="158" spans="1:8" ht="31.5">
      <c r="A158" s="37" t="s">
        <v>229</v>
      </c>
      <c r="B158" s="43" t="s">
        <v>51</v>
      </c>
      <c r="C158" s="43" t="s">
        <v>63</v>
      </c>
      <c r="D158" s="43" t="s">
        <v>678</v>
      </c>
      <c r="E158" s="43" t="s">
        <v>230</v>
      </c>
      <c r="F158" s="94">
        <v>5617.8</v>
      </c>
      <c r="G158" s="94">
        <v>5617.8</v>
      </c>
      <c r="H158" s="94">
        <v>5617.8</v>
      </c>
    </row>
    <row r="159" spans="1:8" ht="15.75">
      <c r="A159" s="40" t="s">
        <v>214</v>
      </c>
      <c r="B159" s="43" t="s">
        <v>51</v>
      </c>
      <c r="C159" s="43" t="s">
        <v>63</v>
      </c>
      <c r="D159" s="43" t="s">
        <v>372</v>
      </c>
      <c r="E159" s="43"/>
      <c r="F159" s="59">
        <f aca="true" t="shared" si="12" ref="F159:H160">F160</f>
        <v>37.2</v>
      </c>
      <c r="G159" s="45">
        <f t="shared" si="12"/>
        <v>0</v>
      </c>
      <c r="H159" s="45">
        <f t="shared" si="12"/>
        <v>0</v>
      </c>
    </row>
    <row r="160" spans="1:8" ht="15.75">
      <c r="A160" s="40" t="s">
        <v>215</v>
      </c>
      <c r="B160" s="43" t="s">
        <v>51</v>
      </c>
      <c r="C160" s="43" t="s">
        <v>63</v>
      </c>
      <c r="D160" s="43" t="s">
        <v>373</v>
      </c>
      <c r="E160" s="43"/>
      <c r="F160" s="59">
        <f t="shared" si="12"/>
        <v>37.2</v>
      </c>
      <c r="G160" s="45">
        <f t="shared" si="12"/>
        <v>0</v>
      </c>
      <c r="H160" s="45">
        <f t="shared" si="12"/>
        <v>0</v>
      </c>
    </row>
    <row r="161" spans="1:8" ht="47.25">
      <c r="A161" s="40" t="s">
        <v>20</v>
      </c>
      <c r="B161" s="43" t="s">
        <v>51</v>
      </c>
      <c r="C161" s="43" t="s">
        <v>63</v>
      </c>
      <c r="D161" s="43" t="s">
        <v>373</v>
      </c>
      <c r="E161" s="43" t="s">
        <v>100</v>
      </c>
      <c r="F161" s="59">
        <v>37.2</v>
      </c>
      <c r="G161" s="59">
        <v>0</v>
      </c>
      <c r="H161" s="59">
        <v>0</v>
      </c>
    </row>
    <row r="162" spans="1:8" ht="15.75">
      <c r="A162" s="37" t="s">
        <v>225</v>
      </c>
      <c r="B162" s="43" t="s">
        <v>51</v>
      </c>
      <c r="C162" s="43" t="s">
        <v>63</v>
      </c>
      <c r="D162" s="43" t="s">
        <v>294</v>
      </c>
      <c r="E162" s="43"/>
      <c r="F162" s="45">
        <f>F163+F165+F167</f>
        <v>645.5</v>
      </c>
      <c r="G162" s="45">
        <f>G163+G165</f>
        <v>291</v>
      </c>
      <c r="H162" s="45">
        <f>H163+H165</f>
        <v>291</v>
      </c>
    </row>
    <row r="163" spans="1:8" ht="47.25">
      <c r="A163" s="37" t="s">
        <v>226</v>
      </c>
      <c r="B163" s="43" t="s">
        <v>51</v>
      </c>
      <c r="C163" s="43" t="s">
        <v>63</v>
      </c>
      <c r="D163" s="43" t="s">
        <v>295</v>
      </c>
      <c r="E163" s="43"/>
      <c r="F163" s="45">
        <f>F164</f>
        <v>150</v>
      </c>
      <c r="G163" s="45">
        <f>G164</f>
        <v>100</v>
      </c>
      <c r="H163" s="45">
        <f>H164</f>
        <v>100</v>
      </c>
    </row>
    <row r="164" spans="1:8" ht="15.75">
      <c r="A164" s="40" t="s">
        <v>21</v>
      </c>
      <c r="B164" s="43" t="s">
        <v>51</v>
      </c>
      <c r="C164" s="43" t="s">
        <v>63</v>
      </c>
      <c r="D164" s="43" t="s">
        <v>295</v>
      </c>
      <c r="E164" s="43" t="s">
        <v>101</v>
      </c>
      <c r="F164" s="59">
        <v>150</v>
      </c>
      <c r="G164" s="59">
        <v>100</v>
      </c>
      <c r="H164" s="59">
        <v>100</v>
      </c>
    </row>
    <row r="165" spans="1:8" ht="15.75">
      <c r="A165" s="40" t="s">
        <v>143</v>
      </c>
      <c r="B165" s="43" t="s">
        <v>51</v>
      </c>
      <c r="C165" s="43" t="s">
        <v>63</v>
      </c>
      <c r="D165" s="43" t="s">
        <v>268</v>
      </c>
      <c r="E165" s="43"/>
      <c r="F165" s="45">
        <f>F166</f>
        <v>211</v>
      </c>
      <c r="G165" s="45">
        <f>G166</f>
        <v>191</v>
      </c>
      <c r="H165" s="45">
        <f>H166</f>
        <v>191</v>
      </c>
    </row>
    <row r="166" spans="1:8" ht="47.25">
      <c r="A166" s="40" t="s">
        <v>20</v>
      </c>
      <c r="B166" s="43" t="s">
        <v>51</v>
      </c>
      <c r="C166" s="43" t="s">
        <v>63</v>
      </c>
      <c r="D166" s="43" t="s">
        <v>268</v>
      </c>
      <c r="E166" s="43" t="s">
        <v>100</v>
      </c>
      <c r="F166" s="59">
        <v>211</v>
      </c>
      <c r="G166" s="59">
        <f>241-50</f>
        <v>191</v>
      </c>
      <c r="H166" s="59">
        <f>241-50</f>
        <v>191</v>
      </c>
    </row>
    <row r="167" spans="1:8" ht="15.75">
      <c r="A167" s="40" t="s">
        <v>225</v>
      </c>
      <c r="B167" s="43" t="s">
        <v>51</v>
      </c>
      <c r="C167" s="43" t="s">
        <v>63</v>
      </c>
      <c r="D167" s="43" t="s">
        <v>1011</v>
      </c>
      <c r="E167" s="43"/>
      <c r="F167" s="59">
        <f>F168+F169</f>
        <v>284.5</v>
      </c>
      <c r="G167" s="59"/>
      <c r="H167" s="59"/>
    </row>
    <row r="168" spans="1:8" ht="15.75">
      <c r="A168" s="40" t="s">
        <v>992</v>
      </c>
      <c r="B168" s="43" t="s">
        <v>51</v>
      </c>
      <c r="C168" s="43" t="s">
        <v>63</v>
      </c>
      <c r="D168" s="43" t="s">
        <v>1011</v>
      </c>
      <c r="E168" s="43" t="s">
        <v>991</v>
      </c>
      <c r="F168" s="59">
        <v>163.29999999999998</v>
      </c>
      <c r="G168" s="59"/>
      <c r="H168" s="59"/>
    </row>
    <row r="169" spans="1:8" ht="15.75">
      <c r="A169" s="40" t="s">
        <v>21</v>
      </c>
      <c r="B169" s="43" t="s">
        <v>51</v>
      </c>
      <c r="C169" s="43" t="s">
        <v>63</v>
      </c>
      <c r="D169" s="43" t="s">
        <v>1011</v>
      </c>
      <c r="E169" s="43" t="s">
        <v>101</v>
      </c>
      <c r="F169" s="59">
        <v>121.2</v>
      </c>
      <c r="G169" s="59"/>
      <c r="H169" s="59"/>
    </row>
    <row r="170" spans="1:8" ht="15.75">
      <c r="A170" s="37" t="s">
        <v>227</v>
      </c>
      <c r="B170" s="43" t="s">
        <v>51</v>
      </c>
      <c r="C170" s="43" t="s">
        <v>63</v>
      </c>
      <c r="D170" s="43" t="s">
        <v>296</v>
      </c>
      <c r="E170" s="43"/>
      <c r="F170" s="45">
        <f aca="true" t="shared" si="13" ref="F170:H171">F171</f>
        <v>845.1</v>
      </c>
      <c r="G170" s="45">
        <f t="shared" si="13"/>
        <v>830.1</v>
      </c>
      <c r="H170" s="45">
        <f t="shared" si="13"/>
        <v>845.1</v>
      </c>
    </row>
    <row r="171" spans="1:8" ht="31.5">
      <c r="A171" s="37" t="s">
        <v>228</v>
      </c>
      <c r="B171" s="43" t="s">
        <v>51</v>
      </c>
      <c r="C171" s="43" t="s">
        <v>63</v>
      </c>
      <c r="D171" s="43" t="s">
        <v>297</v>
      </c>
      <c r="E171" s="43"/>
      <c r="F171" s="45">
        <f t="shared" si="13"/>
        <v>845.1</v>
      </c>
      <c r="G171" s="45">
        <f t="shared" si="13"/>
        <v>830.1</v>
      </c>
      <c r="H171" s="45">
        <f t="shared" si="13"/>
        <v>845.1</v>
      </c>
    </row>
    <row r="172" spans="1:8" ht="47.25">
      <c r="A172" s="40" t="s">
        <v>20</v>
      </c>
      <c r="B172" s="43" t="s">
        <v>51</v>
      </c>
      <c r="C172" s="43" t="s">
        <v>63</v>
      </c>
      <c r="D172" s="43" t="s">
        <v>297</v>
      </c>
      <c r="E172" s="43" t="s">
        <v>100</v>
      </c>
      <c r="F172" s="59">
        <v>845.1</v>
      </c>
      <c r="G172" s="59">
        <v>830.1</v>
      </c>
      <c r="H172" s="59">
        <v>845.1</v>
      </c>
    </row>
    <row r="173" spans="1:8" ht="15.75">
      <c r="A173" s="25" t="s">
        <v>838</v>
      </c>
      <c r="B173" s="43" t="s">
        <v>52</v>
      </c>
      <c r="C173" s="43"/>
      <c r="D173" s="43"/>
      <c r="E173" s="43"/>
      <c r="F173" s="59">
        <f aca="true" t="shared" si="14" ref="F173:H174">F174</f>
        <v>665</v>
      </c>
      <c r="G173" s="59">
        <f t="shared" si="14"/>
        <v>694.6</v>
      </c>
      <c r="H173" s="59">
        <f t="shared" si="14"/>
        <v>719</v>
      </c>
    </row>
    <row r="174" spans="1:8" ht="15.75">
      <c r="A174" s="40" t="s">
        <v>839</v>
      </c>
      <c r="B174" s="43" t="s">
        <v>52</v>
      </c>
      <c r="C174" s="43" t="s">
        <v>54</v>
      </c>
      <c r="D174" s="43"/>
      <c r="E174" s="43"/>
      <c r="F174" s="59">
        <f t="shared" si="14"/>
        <v>665</v>
      </c>
      <c r="G174" s="59">
        <f t="shared" si="14"/>
        <v>694.6</v>
      </c>
      <c r="H174" s="59">
        <f t="shared" si="14"/>
        <v>719</v>
      </c>
    </row>
    <row r="175" spans="1:8" ht="63">
      <c r="A175" s="40" t="s">
        <v>687</v>
      </c>
      <c r="B175" s="43" t="s">
        <v>52</v>
      </c>
      <c r="C175" s="43" t="s">
        <v>54</v>
      </c>
      <c r="D175" s="43" t="s">
        <v>566</v>
      </c>
      <c r="E175" s="43"/>
      <c r="F175" s="59">
        <f>F176+F180</f>
        <v>665</v>
      </c>
      <c r="G175" s="59">
        <f>G176+G180</f>
        <v>694.6</v>
      </c>
      <c r="H175" s="59">
        <f>H176+H180</f>
        <v>719</v>
      </c>
    </row>
    <row r="176" spans="1:8" ht="47.25">
      <c r="A176" s="40" t="s">
        <v>688</v>
      </c>
      <c r="B176" s="43" t="s">
        <v>52</v>
      </c>
      <c r="C176" s="43" t="s">
        <v>54</v>
      </c>
      <c r="D176" s="43" t="s">
        <v>578</v>
      </c>
      <c r="E176" s="43"/>
      <c r="F176" s="45">
        <f aca="true" t="shared" si="15" ref="F176:H178">F177</f>
        <v>359.4</v>
      </c>
      <c r="G176" s="45">
        <f t="shared" si="15"/>
        <v>374.2</v>
      </c>
      <c r="H176" s="45">
        <f t="shared" si="15"/>
        <v>386.4</v>
      </c>
    </row>
    <row r="177" spans="1:8" ht="47.25">
      <c r="A177" s="40" t="s">
        <v>689</v>
      </c>
      <c r="B177" s="43" t="s">
        <v>52</v>
      </c>
      <c r="C177" s="43" t="s">
        <v>54</v>
      </c>
      <c r="D177" s="43" t="s">
        <v>582</v>
      </c>
      <c r="E177" s="43"/>
      <c r="F177" s="45">
        <f t="shared" si="15"/>
        <v>359.4</v>
      </c>
      <c r="G177" s="45">
        <f t="shared" si="15"/>
        <v>374.2</v>
      </c>
      <c r="H177" s="45">
        <f t="shared" si="15"/>
        <v>386.4</v>
      </c>
    </row>
    <row r="178" spans="1:8" ht="63">
      <c r="A178" s="40" t="s">
        <v>960</v>
      </c>
      <c r="B178" s="43" t="s">
        <v>52</v>
      </c>
      <c r="C178" s="43" t="s">
        <v>54</v>
      </c>
      <c r="D178" s="43" t="s">
        <v>891</v>
      </c>
      <c r="E178" s="43"/>
      <c r="F178" s="94">
        <f>F179</f>
        <v>359.4</v>
      </c>
      <c r="G178" s="94">
        <f t="shared" si="15"/>
        <v>374.2</v>
      </c>
      <c r="H178" s="94">
        <f t="shared" si="15"/>
        <v>386.4</v>
      </c>
    </row>
    <row r="179" spans="1:8" ht="31.5">
      <c r="A179" s="40" t="s">
        <v>96</v>
      </c>
      <c r="B179" s="43" t="s">
        <v>52</v>
      </c>
      <c r="C179" s="43" t="s">
        <v>54</v>
      </c>
      <c r="D179" s="43" t="s">
        <v>891</v>
      </c>
      <c r="E179" s="43" t="s">
        <v>97</v>
      </c>
      <c r="F179" s="94">
        <v>359.4</v>
      </c>
      <c r="G179" s="94">
        <f>359.4+14.8</f>
        <v>374.2</v>
      </c>
      <c r="H179" s="94">
        <f>359.4+27</f>
        <v>386.4</v>
      </c>
    </row>
    <row r="180" spans="1:8" ht="63">
      <c r="A180" s="87" t="s">
        <v>942</v>
      </c>
      <c r="B180" s="43" t="s">
        <v>52</v>
      </c>
      <c r="C180" s="43" t="s">
        <v>54</v>
      </c>
      <c r="D180" s="43" t="s">
        <v>680</v>
      </c>
      <c r="E180" s="43"/>
      <c r="F180" s="59">
        <f>F181</f>
        <v>305.6</v>
      </c>
      <c r="G180" s="59">
        <f aca="true" t="shared" si="16" ref="G180:H182">G181</f>
        <v>320.40000000000003</v>
      </c>
      <c r="H180" s="59">
        <f t="shared" si="16"/>
        <v>332.6</v>
      </c>
    </row>
    <row r="181" spans="1:8" ht="63">
      <c r="A181" s="40" t="s">
        <v>941</v>
      </c>
      <c r="B181" s="43" t="s">
        <v>52</v>
      </c>
      <c r="C181" s="43" t="s">
        <v>54</v>
      </c>
      <c r="D181" s="43" t="s">
        <v>682</v>
      </c>
      <c r="E181" s="43"/>
      <c r="F181" s="45">
        <f>F182</f>
        <v>305.6</v>
      </c>
      <c r="G181" s="45">
        <f t="shared" si="16"/>
        <v>320.40000000000003</v>
      </c>
      <c r="H181" s="45">
        <f t="shared" si="16"/>
        <v>332.6</v>
      </c>
    </row>
    <row r="182" spans="1:8" ht="47.25">
      <c r="A182" s="40" t="s">
        <v>684</v>
      </c>
      <c r="B182" s="43" t="s">
        <v>52</v>
      </c>
      <c r="C182" s="43" t="s">
        <v>54</v>
      </c>
      <c r="D182" s="43" t="s">
        <v>685</v>
      </c>
      <c r="E182" s="43"/>
      <c r="F182" s="45">
        <f>F183</f>
        <v>305.6</v>
      </c>
      <c r="G182" s="45">
        <f t="shared" si="16"/>
        <v>320.40000000000003</v>
      </c>
      <c r="H182" s="45">
        <f t="shared" si="16"/>
        <v>332.6</v>
      </c>
    </row>
    <row r="183" spans="1:8" ht="31.5">
      <c r="A183" s="40" t="s">
        <v>96</v>
      </c>
      <c r="B183" s="43" t="s">
        <v>52</v>
      </c>
      <c r="C183" s="43" t="s">
        <v>54</v>
      </c>
      <c r="D183" s="43" t="s">
        <v>685</v>
      </c>
      <c r="E183" s="43" t="s">
        <v>97</v>
      </c>
      <c r="F183" s="45">
        <f>305.6</f>
        <v>305.6</v>
      </c>
      <c r="G183" s="45">
        <f>305.6+14.8</f>
        <v>320.40000000000003</v>
      </c>
      <c r="H183" s="45">
        <f>305.6+27</f>
        <v>332.6</v>
      </c>
    </row>
    <row r="184" spans="1:8" ht="31.5">
      <c r="A184" s="50" t="s">
        <v>64</v>
      </c>
      <c r="B184" s="46" t="s">
        <v>54</v>
      </c>
      <c r="C184" s="46"/>
      <c r="D184" s="46"/>
      <c r="E184" s="46"/>
      <c r="F184" s="93">
        <f>F185+F219+F191</f>
        <v>8319.6</v>
      </c>
      <c r="G184" s="93">
        <f>G185+G219+G191</f>
        <v>6166.900000000001</v>
      </c>
      <c r="H184" s="93">
        <f>H185+H219+H191</f>
        <v>6166.900000000001</v>
      </c>
    </row>
    <row r="185" spans="1:8" ht="15.75">
      <c r="A185" s="40" t="s">
        <v>506</v>
      </c>
      <c r="B185" s="43" t="s">
        <v>54</v>
      </c>
      <c r="C185" s="43" t="s">
        <v>65</v>
      </c>
      <c r="D185" s="43"/>
      <c r="E185" s="43"/>
      <c r="F185" s="45">
        <f>F188</f>
        <v>575</v>
      </c>
      <c r="G185" s="45">
        <f>G188</f>
        <v>575</v>
      </c>
      <c r="H185" s="45">
        <f>H188</f>
        <v>575</v>
      </c>
    </row>
    <row r="186" spans="1:8" ht="141.75">
      <c r="A186" s="40" t="s">
        <v>799</v>
      </c>
      <c r="B186" s="43" t="s">
        <v>54</v>
      </c>
      <c r="C186" s="43" t="s">
        <v>65</v>
      </c>
      <c r="D186" s="43" t="s">
        <v>564</v>
      </c>
      <c r="E186" s="43"/>
      <c r="F186" s="59">
        <f aca="true" t="shared" si="17" ref="F186:H187">F187</f>
        <v>575</v>
      </c>
      <c r="G186" s="59">
        <f t="shared" si="17"/>
        <v>575</v>
      </c>
      <c r="H186" s="59">
        <f t="shared" si="17"/>
        <v>575</v>
      </c>
    </row>
    <row r="187" spans="1:8" ht="126">
      <c r="A187" s="40" t="s">
        <v>824</v>
      </c>
      <c r="B187" s="43" t="s">
        <v>54</v>
      </c>
      <c r="C187" s="43" t="s">
        <v>65</v>
      </c>
      <c r="D187" s="43" t="s">
        <v>800</v>
      </c>
      <c r="E187" s="43"/>
      <c r="F187" s="59">
        <f t="shared" si="17"/>
        <v>575</v>
      </c>
      <c r="G187" s="59">
        <f t="shared" si="17"/>
        <v>575</v>
      </c>
      <c r="H187" s="59">
        <f t="shared" si="17"/>
        <v>575</v>
      </c>
    </row>
    <row r="188" spans="1:8" ht="78.75">
      <c r="A188" s="40" t="s">
        <v>812</v>
      </c>
      <c r="B188" s="43" t="s">
        <v>54</v>
      </c>
      <c r="C188" s="43" t="s">
        <v>65</v>
      </c>
      <c r="D188" s="43" t="s">
        <v>814</v>
      </c>
      <c r="E188" s="43"/>
      <c r="F188" s="59">
        <f aca="true" t="shared" si="18" ref="F188:H189">F189</f>
        <v>575</v>
      </c>
      <c r="G188" s="59">
        <f t="shared" si="18"/>
        <v>575</v>
      </c>
      <c r="H188" s="59">
        <f t="shared" si="18"/>
        <v>575</v>
      </c>
    </row>
    <row r="189" spans="1:8" ht="31.5">
      <c r="A189" s="40" t="s">
        <v>508</v>
      </c>
      <c r="B189" s="43" t="s">
        <v>54</v>
      </c>
      <c r="C189" s="43" t="s">
        <v>65</v>
      </c>
      <c r="D189" s="43" t="s">
        <v>813</v>
      </c>
      <c r="E189" s="43"/>
      <c r="F189" s="59">
        <f t="shared" si="18"/>
        <v>575</v>
      </c>
      <c r="G189" s="45">
        <f t="shared" si="18"/>
        <v>575</v>
      </c>
      <c r="H189" s="45">
        <f t="shared" si="18"/>
        <v>575</v>
      </c>
    </row>
    <row r="190" spans="1:8" ht="47.25">
      <c r="A190" s="40" t="s">
        <v>20</v>
      </c>
      <c r="B190" s="43" t="s">
        <v>54</v>
      </c>
      <c r="C190" s="43" t="s">
        <v>65</v>
      </c>
      <c r="D190" s="43" t="s">
        <v>813</v>
      </c>
      <c r="E190" s="43" t="s">
        <v>100</v>
      </c>
      <c r="F190" s="47">
        <v>575</v>
      </c>
      <c r="G190" s="47">
        <v>575</v>
      </c>
      <c r="H190" s="47">
        <v>575</v>
      </c>
    </row>
    <row r="191" spans="1:8" ht="47.25">
      <c r="A191" s="40" t="s">
        <v>507</v>
      </c>
      <c r="B191" s="43" t="s">
        <v>54</v>
      </c>
      <c r="C191" s="43" t="s">
        <v>86</v>
      </c>
      <c r="D191" s="43"/>
      <c r="E191" s="43"/>
      <c r="F191" s="59">
        <f>F192+F216</f>
        <v>7546.8</v>
      </c>
      <c r="G191" s="59">
        <f>G192+G216</f>
        <v>5395.8</v>
      </c>
      <c r="H191" s="59">
        <f>H192+H216</f>
        <v>5395.8</v>
      </c>
    </row>
    <row r="192" spans="1:8" ht="141.75">
      <c r="A192" s="40" t="s">
        <v>799</v>
      </c>
      <c r="B192" s="43" t="s">
        <v>54</v>
      </c>
      <c r="C192" s="43" t="s">
        <v>86</v>
      </c>
      <c r="D192" s="43" t="s">
        <v>564</v>
      </c>
      <c r="E192" s="74"/>
      <c r="F192" s="94">
        <f>F193+F212</f>
        <v>7546.8</v>
      </c>
      <c r="G192" s="94">
        <f>G193+G212</f>
        <v>5395.8</v>
      </c>
      <c r="H192" s="94">
        <f>H193+H212</f>
        <v>5395.8</v>
      </c>
    </row>
    <row r="193" spans="1:8" ht="115.5" customHeight="1">
      <c r="A193" s="40" t="s">
        <v>824</v>
      </c>
      <c r="B193" s="43" t="s">
        <v>54</v>
      </c>
      <c r="C193" s="43" t="s">
        <v>86</v>
      </c>
      <c r="D193" s="43" t="s">
        <v>800</v>
      </c>
      <c r="E193" s="74"/>
      <c r="F193" s="94">
        <f>F194+F197+F204+F207</f>
        <v>7526.8</v>
      </c>
      <c r="G193" s="94">
        <f>G194+G197+G204+G207</f>
        <v>5375.8</v>
      </c>
      <c r="H193" s="94">
        <f>H194+H197+H204+H207</f>
        <v>5375.8</v>
      </c>
    </row>
    <row r="194" spans="1:8" ht="63">
      <c r="A194" s="40" t="s">
        <v>808</v>
      </c>
      <c r="B194" s="43" t="s">
        <v>54</v>
      </c>
      <c r="C194" s="43" t="s">
        <v>86</v>
      </c>
      <c r="D194" s="43" t="s">
        <v>807</v>
      </c>
      <c r="E194" s="74"/>
      <c r="F194" s="94">
        <f aca="true" t="shared" si="19" ref="F194:H195">F195</f>
        <v>800</v>
      </c>
      <c r="G194" s="94">
        <f t="shared" si="19"/>
        <v>0</v>
      </c>
      <c r="H194" s="94">
        <f t="shared" si="19"/>
        <v>0</v>
      </c>
    </row>
    <row r="195" spans="1:8" ht="47.25">
      <c r="A195" s="40" t="s">
        <v>565</v>
      </c>
      <c r="B195" s="43" t="s">
        <v>54</v>
      </c>
      <c r="C195" s="43" t="s">
        <v>86</v>
      </c>
      <c r="D195" s="43" t="s">
        <v>816</v>
      </c>
      <c r="E195" s="74"/>
      <c r="F195" s="94">
        <f t="shared" si="19"/>
        <v>800</v>
      </c>
      <c r="G195" s="94">
        <f t="shared" si="19"/>
        <v>0</v>
      </c>
      <c r="H195" s="94">
        <f t="shared" si="19"/>
        <v>0</v>
      </c>
    </row>
    <row r="196" spans="1:8" ht="47.25">
      <c r="A196" s="40" t="s">
        <v>20</v>
      </c>
      <c r="B196" s="43" t="s">
        <v>54</v>
      </c>
      <c r="C196" s="43" t="s">
        <v>86</v>
      </c>
      <c r="D196" s="43" t="s">
        <v>816</v>
      </c>
      <c r="E196" s="74" t="s">
        <v>100</v>
      </c>
      <c r="F196" s="94">
        <v>800</v>
      </c>
      <c r="G196" s="94">
        <v>0</v>
      </c>
      <c r="H196" s="94">
        <v>0</v>
      </c>
    </row>
    <row r="197" spans="1:8" ht="31.5">
      <c r="A197" s="40" t="s">
        <v>810</v>
      </c>
      <c r="B197" s="43" t="s">
        <v>54</v>
      </c>
      <c r="C197" s="43" t="s">
        <v>86</v>
      </c>
      <c r="D197" s="43" t="s">
        <v>809</v>
      </c>
      <c r="E197" s="159"/>
      <c r="F197" s="47">
        <f>F198+F200+F202</f>
        <v>736</v>
      </c>
      <c r="G197" s="47">
        <f>G198+G200+G202</f>
        <v>736</v>
      </c>
      <c r="H197" s="47">
        <f>H198+H200+H202</f>
        <v>736</v>
      </c>
    </row>
    <row r="198" spans="1:8" ht="31.5">
      <c r="A198" s="124" t="s">
        <v>811</v>
      </c>
      <c r="B198" s="43" t="s">
        <v>54</v>
      </c>
      <c r="C198" s="43" t="s">
        <v>86</v>
      </c>
      <c r="D198" s="43" t="s">
        <v>815</v>
      </c>
      <c r="E198" s="159"/>
      <c r="F198" s="47">
        <f>F199</f>
        <v>736</v>
      </c>
      <c r="G198" s="47">
        <f>G199</f>
        <v>736</v>
      </c>
      <c r="H198" s="47">
        <f>H199</f>
        <v>736</v>
      </c>
    </row>
    <row r="199" spans="1:8" ht="47.25">
      <c r="A199" s="124" t="s">
        <v>20</v>
      </c>
      <c r="B199" s="43" t="s">
        <v>54</v>
      </c>
      <c r="C199" s="43" t="s">
        <v>86</v>
      </c>
      <c r="D199" s="43" t="s">
        <v>815</v>
      </c>
      <c r="E199" s="48">
        <v>240</v>
      </c>
      <c r="F199" s="47">
        <v>736</v>
      </c>
      <c r="G199" s="47">
        <v>736</v>
      </c>
      <c r="H199" s="47">
        <v>736</v>
      </c>
    </row>
    <row r="200" spans="1:8" ht="31.5" hidden="1">
      <c r="A200" s="124" t="s">
        <v>421</v>
      </c>
      <c r="B200" s="43" t="s">
        <v>54</v>
      </c>
      <c r="C200" s="43" t="s">
        <v>86</v>
      </c>
      <c r="D200" s="43" t="s">
        <v>817</v>
      </c>
      <c r="E200" s="48"/>
      <c r="F200" s="47">
        <f>F201</f>
        <v>0</v>
      </c>
      <c r="G200" s="47">
        <f>G201</f>
        <v>0</v>
      </c>
      <c r="H200" s="47">
        <f>H201</f>
        <v>0</v>
      </c>
    </row>
    <row r="201" spans="1:8" ht="47.25" hidden="1">
      <c r="A201" s="124" t="s">
        <v>20</v>
      </c>
      <c r="B201" s="43" t="s">
        <v>54</v>
      </c>
      <c r="C201" s="43" t="s">
        <v>86</v>
      </c>
      <c r="D201" s="43" t="s">
        <v>817</v>
      </c>
      <c r="E201" s="48">
        <v>240</v>
      </c>
      <c r="F201" s="47">
        <v>0</v>
      </c>
      <c r="G201" s="47"/>
      <c r="H201" s="47"/>
    </row>
    <row r="202" spans="1:8" ht="47.25" hidden="1">
      <c r="A202" s="124" t="s">
        <v>422</v>
      </c>
      <c r="B202" s="43" t="s">
        <v>54</v>
      </c>
      <c r="C202" s="43" t="s">
        <v>86</v>
      </c>
      <c r="D202" s="43" t="s">
        <v>818</v>
      </c>
      <c r="E202" s="48"/>
      <c r="F202" s="47">
        <f>F203</f>
        <v>0</v>
      </c>
      <c r="G202" s="47">
        <f>G203</f>
        <v>0</v>
      </c>
      <c r="H202" s="47">
        <f>H203</f>
        <v>0</v>
      </c>
    </row>
    <row r="203" spans="1:8" ht="47.25" hidden="1">
      <c r="A203" s="124" t="s">
        <v>20</v>
      </c>
      <c r="B203" s="43" t="s">
        <v>54</v>
      </c>
      <c r="C203" s="43" t="s">
        <v>86</v>
      </c>
      <c r="D203" s="43" t="s">
        <v>818</v>
      </c>
      <c r="E203" s="48">
        <v>240</v>
      </c>
      <c r="F203" s="47">
        <v>0</v>
      </c>
      <c r="G203" s="47"/>
      <c r="H203" s="47"/>
    </row>
    <row r="204" spans="1:8" ht="78.75">
      <c r="A204" s="40" t="s">
        <v>812</v>
      </c>
      <c r="B204" s="43" t="s">
        <v>54</v>
      </c>
      <c r="C204" s="43" t="s">
        <v>86</v>
      </c>
      <c r="D204" s="43" t="s">
        <v>814</v>
      </c>
      <c r="E204" s="48"/>
      <c r="F204" s="47">
        <f aca="true" t="shared" si="20" ref="F204:H205">F205</f>
        <v>139.8</v>
      </c>
      <c r="G204" s="47">
        <f t="shared" si="20"/>
        <v>139.8</v>
      </c>
      <c r="H204" s="47">
        <f t="shared" si="20"/>
        <v>139.8</v>
      </c>
    </row>
    <row r="205" spans="1:8" ht="47.25">
      <c r="A205" s="40" t="s">
        <v>565</v>
      </c>
      <c r="B205" s="43" t="s">
        <v>54</v>
      </c>
      <c r="C205" s="43" t="s">
        <v>86</v>
      </c>
      <c r="D205" s="43" t="s">
        <v>823</v>
      </c>
      <c r="E205" s="48"/>
      <c r="F205" s="47">
        <f t="shared" si="20"/>
        <v>139.8</v>
      </c>
      <c r="G205" s="47">
        <f t="shared" si="20"/>
        <v>139.8</v>
      </c>
      <c r="H205" s="47">
        <f t="shared" si="20"/>
        <v>139.8</v>
      </c>
    </row>
    <row r="206" spans="1:8" ht="47.25">
      <c r="A206" s="40" t="s">
        <v>20</v>
      </c>
      <c r="B206" s="43" t="s">
        <v>54</v>
      </c>
      <c r="C206" s="43" t="s">
        <v>86</v>
      </c>
      <c r="D206" s="43" t="s">
        <v>823</v>
      </c>
      <c r="E206" s="48">
        <v>240</v>
      </c>
      <c r="F206" s="47">
        <v>139.8</v>
      </c>
      <c r="G206" s="47">
        <v>139.8</v>
      </c>
      <c r="H206" s="47">
        <v>139.8</v>
      </c>
    </row>
    <row r="207" spans="1:8" ht="63">
      <c r="A207" s="40" t="s">
        <v>982</v>
      </c>
      <c r="B207" s="43" t="s">
        <v>54</v>
      </c>
      <c r="C207" s="43" t="s">
        <v>86</v>
      </c>
      <c r="D207" s="43" t="s">
        <v>819</v>
      </c>
      <c r="E207" s="159"/>
      <c r="F207" s="47">
        <f>F208+F210</f>
        <v>5851</v>
      </c>
      <c r="G207" s="47">
        <f>G208+G210</f>
        <v>4500</v>
      </c>
      <c r="H207" s="47">
        <f>H208+H210</f>
        <v>4500</v>
      </c>
    </row>
    <row r="208" spans="1:8" ht="31.5">
      <c r="A208" s="124" t="s">
        <v>821</v>
      </c>
      <c r="B208" s="43" t="s">
        <v>54</v>
      </c>
      <c r="C208" s="43" t="s">
        <v>86</v>
      </c>
      <c r="D208" s="43" t="s">
        <v>820</v>
      </c>
      <c r="E208" s="202"/>
      <c r="F208" s="47">
        <f>F209</f>
        <v>4874.8</v>
      </c>
      <c r="G208" s="47">
        <f>G209</f>
        <v>3523.8</v>
      </c>
      <c r="H208" s="47">
        <f>H209</f>
        <v>3523.8</v>
      </c>
    </row>
    <row r="209" spans="1:8" ht="15.75">
      <c r="A209" s="40" t="s">
        <v>110</v>
      </c>
      <c r="B209" s="43" t="s">
        <v>54</v>
      </c>
      <c r="C209" s="43" t="s">
        <v>86</v>
      </c>
      <c r="D209" s="43" t="s">
        <v>820</v>
      </c>
      <c r="E209" s="202">
        <v>610</v>
      </c>
      <c r="F209" s="47">
        <v>4874.8</v>
      </c>
      <c r="G209" s="47">
        <f>4500-976.2</f>
        <v>3523.8</v>
      </c>
      <c r="H209" s="47">
        <f>4500-976.2</f>
        <v>3523.8</v>
      </c>
    </row>
    <row r="210" spans="1:8" ht="47.25">
      <c r="A210" s="40" t="s">
        <v>462</v>
      </c>
      <c r="B210" s="43" t="s">
        <v>54</v>
      </c>
      <c r="C210" s="43" t="s">
        <v>86</v>
      </c>
      <c r="D210" s="43" t="s">
        <v>822</v>
      </c>
      <c r="E210" s="202"/>
      <c r="F210" s="47">
        <f>F211</f>
        <v>976.2</v>
      </c>
      <c r="G210" s="47">
        <f>G211</f>
        <v>976.2</v>
      </c>
      <c r="H210" s="47">
        <f>H211</f>
        <v>976.2</v>
      </c>
    </row>
    <row r="211" spans="1:8" ht="15.75">
      <c r="A211" s="40" t="s">
        <v>110</v>
      </c>
      <c r="B211" s="43" t="s">
        <v>54</v>
      </c>
      <c r="C211" s="43" t="s">
        <v>86</v>
      </c>
      <c r="D211" s="43" t="s">
        <v>822</v>
      </c>
      <c r="E211" s="202">
        <v>610</v>
      </c>
      <c r="F211" s="47">
        <v>976.2</v>
      </c>
      <c r="G211" s="47">
        <v>976.2</v>
      </c>
      <c r="H211" s="47">
        <v>976.2</v>
      </c>
    </row>
    <row r="212" spans="1:8" ht="63">
      <c r="A212" s="124" t="s">
        <v>804</v>
      </c>
      <c r="B212" s="43" t="s">
        <v>54</v>
      </c>
      <c r="C212" s="43" t="s">
        <v>86</v>
      </c>
      <c r="D212" s="43" t="s">
        <v>806</v>
      </c>
      <c r="E212" s="159"/>
      <c r="F212" s="47">
        <f>F213</f>
        <v>20</v>
      </c>
      <c r="G212" s="47">
        <f aca="true" t="shared" si="21" ref="G212:H214">G213</f>
        <v>20</v>
      </c>
      <c r="H212" s="47">
        <f t="shared" si="21"/>
        <v>20</v>
      </c>
    </row>
    <row r="213" spans="1:8" ht="47.25">
      <c r="A213" s="124" t="s">
        <v>805</v>
      </c>
      <c r="B213" s="43" t="s">
        <v>54</v>
      </c>
      <c r="C213" s="43" t="s">
        <v>86</v>
      </c>
      <c r="D213" s="43" t="s">
        <v>801</v>
      </c>
      <c r="E213" s="160"/>
      <c r="F213" s="47">
        <f>F214</f>
        <v>20</v>
      </c>
      <c r="G213" s="47">
        <f t="shared" si="21"/>
        <v>20</v>
      </c>
      <c r="H213" s="47">
        <f t="shared" si="21"/>
        <v>20</v>
      </c>
    </row>
    <row r="214" spans="1:8" ht="31.5">
      <c r="A214" s="124" t="s">
        <v>803</v>
      </c>
      <c r="B214" s="43" t="s">
        <v>54</v>
      </c>
      <c r="C214" s="43" t="s">
        <v>86</v>
      </c>
      <c r="D214" s="43" t="s">
        <v>802</v>
      </c>
      <c r="E214" s="74"/>
      <c r="F214" s="94">
        <f>F215</f>
        <v>20</v>
      </c>
      <c r="G214" s="94">
        <f t="shared" si="21"/>
        <v>20</v>
      </c>
      <c r="H214" s="94">
        <f t="shared" si="21"/>
        <v>20</v>
      </c>
    </row>
    <row r="215" spans="1:8" ht="47.25">
      <c r="A215" s="40" t="s">
        <v>20</v>
      </c>
      <c r="B215" s="43" t="s">
        <v>54</v>
      </c>
      <c r="C215" s="43" t="s">
        <v>86</v>
      </c>
      <c r="D215" s="43" t="s">
        <v>802</v>
      </c>
      <c r="E215" s="74" t="s">
        <v>100</v>
      </c>
      <c r="F215" s="94">
        <v>20</v>
      </c>
      <c r="G215" s="94">
        <v>20</v>
      </c>
      <c r="H215" s="94">
        <v>20</v>
      </c>
    </row>
    <row r="216" spans="1:8" ht="15.75" hidden="1">
      <c r="A216" s="40" t="s">
        <v>214</v>
      </c>
      <c r="B216" s="43" t="s">
        <v>54</v>
      </c>
      <c r="C216" s="43" t="s">
        <v>86</v>
      </c>
      <c r="D216" s="43" t="s">
        <v>372</v>
      </c>
      <c r="E216" s="43"/>
      <c r="F216" s="59">
        <f aca="true" t="shared" si="22" ref="F216:H217">F217</f>
        <v>0</v>
      </c>
      <c r="G216" s="45">
        <f t="shared" si="22"/>
        <v>0</v>
      </c>
      <c r="H216" s="45">
        <f t="shared" si="22"/>
        <v>0</v>
      </c>
    </row>
    <row r="217" spans="1:8" ht="15.75" hidden="1">
      <c r="A217" s="40" t="s">
        <v>215</v>
      </c>
      <c r="B217" s="43" t="s">
        <v>54</v>
      </c>
      <c r="C217" s="43" t="s">
        <v>86</v>
      </c>
      <c r="D217" s="43" t="s">
        <v>373</v>
      </c>
      <c r="E217" s="43"/>
      <c r="F217" s="59">
        <f t="shared" si="22"/>
        <v>0</v>
      </c>
      <c r="G217" s="45">
        <f t="shared" si="22"/>
        <v>0</v>
      </c>
      <c r="H217" s="45">
        <f t="shared" si="22"/>
        <v>0</v>
      </c>
    </row>
    <row r="218" spans="1:8" ht="47.25" hidden="1">
      <c r="A218" s="40" t="s">
        <v>20</v>
      </c>
      <c r="B218" s="43" t="s">
        <v>54</v>
      </c>
      <c r="C218" s="43" t="s">
        <v>86</v>
      </c>
      <c r="D218" s="43" t="s">
        <v>373</v>
      </c>
      <c r="E218" s="43" t="s">
        <v>100</v>
      </c>
      <c r="F218" s="59">
        <v>0</v>
      </c>
      <c r="G218" s="59">
        <v>0</v>
      </c>
      <c r="H218" s="59">
        <v>0</v>
      </c>
    </row>
    <row r="219" spans="1:8" ht="39" customHeight="1">
      <c r="A219" s="40" t="s">
        <v>66</v>
      </c>
      <c r="B219" s="43" t="s">
        <v>54</v>
      </c>
      <c r="C219" s="43" t="s">
        <v>67</v>
      </c>
      <c r="D219" s="43"/>
      <c r="E219" s="43"/>
      <c r="F219" s="45">
        <f>F220+F232</f>
        <v>197.8</v>
      </c>
      <c r="G219" s="45">
        <f>G220+G232</f>
        <v>196.1</v>
      </c>
      <c r="H219" s="45">
        <f>H220+H232</f>
        <v>196.1</v>
      </c>
    </row>
    <row r="220" spans="1:8" ht="69" customHeight="1">
      <c r="A220" s="40" t="s">
        <v>745</v>
      </c>
      <c r="B220" s="43" t="s">
        <v>54</v>
      </c>
      <c r="C220" s="43" t="s">
        <v>67</v>
      </c>
      <c r="D220" s="43" t="s">
        <v>134</v>
      </c>
      <c r="E220" s="43"/>
      <c r="F220" s="45">
        <f>F221</f>
        <v>30</v>
      </c>
      <c r="G220" s="45">
        <f>G221</f>
        <v>30</v>
      </c>
      <c r="H220" s="45">
        <f>H221</f>
        <v>30</v>
      </c>
    </row>
    <row r="221" spans="1:8" ht="31.5">
      <c r="A221" s="124" t="s">
        <v>323</v>
      </c>
      <c r="B221" s="43" t="s">
        <v>54</v>
      </c>
      <c r="C221" s="43" t="s">
        <v>67</v>
      </c>
      <c r="D221" s="43" t="s">
        <v>324</v>
      </c>
      <c r="E221" s="43"/>
      <c r="F221" s="45">
        <f>F222+F225+F229</f>
        <v>30</v>
      </c>
      <c r="G221" s="45">
        <f>G222+G225+G229</f>
        <v>30</v>
      </c>
      <c r="H221" s="45">
        <f>H222+H225+H229</f>
        <v>30</v>
      </c>
    </row>
    <row r="222" spans="1:8" ht="47.25" hidden="1">
      <c r="A222" s="124" t="s">
        <v>284</v>
      </c>
      <c r="B222" s="43" t="s">
        <v>54</v>
      </c>
      <c r="C222" s="43" t="s">
        <v>67</v>
      </c>
      <c r="D222" s="43" t="s">
        <v>325</v>
      </c>
      <c r="E222" s="43"/>
      <c r="F222" s="45">
        <f aca="true" t="shared" si="23" ref="F222:H223">F223</f>
        <v>0</v>
      </c>
      <c r="G222" s="45">
        <f t="shared" si="23"/>
        <v>0</v>
      </c>
      <c r="H222" s="45">
        <f t="shared" si="23"/>
        <v>0</v>
      </c>
    </row>
    <row r="223" spans="1:8" ht="31.5" hidden="1">
      <c r="A223" s="124" t="s">
        <v>114</v>
      </c>
      <c r="B223" s="43" t="s">
        <v>54</v>
      </c>
      <c r="C223" s="43" t="s">
        <v>67</v>
      </c>
      <c r="D223" s="43" t="s">
        <v>485</v>
      </c>
      <c r="E223" s="43"/>
      <c r="F223" s="45">
        <f t="shared" si="23"/>
        <v>0</v>
      </c>
      <c r="G223" s="45">
        <f t="shared" si="23"/>
        <v>0</v>
      </c>
      <c r="H223" s="45">
        <f t="shared" si="23"/>
        <v>0</v>
      </c>
    </row>
    <row r="224" spans="1:8" ht="15.75" hidden="1">
      <c r="A224" s="40" t="s">
        <v>110</v>
      </c>
      <c r="B224" s="43" t="s">
        <v>54</v>
      </c>
      <c r="C224" s="43" t="s">
        <v>67</v>
      </c>
      <c r="D224" s="43" t="s">
        <v>485</v>
      </c>
      <c r="E224" s="43" t="s">
        <v>111</v>
      </c>
      <c r="F224" s="45">
        <v>0</v>
      </c>
      <c r="G224" s="45">
        <v>0</v>
      </c>
      <c r="H224" s="45">
        <v>0</v>
      </c>
    </row>
    <row r="225" spans="1:8" ht="31.5">
      <c r="A225" s="124" t="s">
        <v>798</v>
      </c>
      <c r="B225" s="43" t="s">
        <v>54</v>
      </c>
      <c r="C225" s="43" t="s">
        <v>67</v>
      </c>
      <c r="D225" s="43" t="s">
        <v>326</v>
      </c>
      <c r="E225" s="43"/>
      <c r="F225" s="45">
        <f>F226</f>
        <v>24</v>
      </c>
      <c r="G225" s="45">
        <f>G226</f>
        <v>24</v>
      </c>
      <c r="H225" s="45">
        <f>H226</f>
        <v>24</v>
      </c>
    </row>
    <row r="226" spans="1:8" ht="31.5">
      <c r="A226" s="124" t="s">
        <v>318</v>
      </c>
      <c r="B226" s="43" t="s">
        <v>54</v>
      </c>
      <c r="C226" s="43" t="s">
        <v>67</v>
      </c>
      <c r="D226" s="43" t="s">
        <v>327</v>
      </c>
      <c r="E226" s="43"/>
      <c r="F226" s="45">
        <f>F228+F227</f>
        <v>24</v>
      </c>
      <c r="G226" s="45">
        <f>G228</f>
        <v>24</v>
      </c>
      <c r="H226" s="45">
        <f>H228</f>
        <v>24</v>
      </c>
    </row>
    <row r="227" spans="1:8" ht="31.5">
      <c r="A227" s="40" t="s">
        <v>96</v>
      </c>
      <c r="B227" s="43" t="s">
        <v>54</v>
      </c>
      <c r="C227" s="43" t="s">
        <v>67</v>
      </c>
      <c r="D227" s="43" t="s">
        <v>327</v>
      </c>
      <c r="E227" s="43" t="s">
        <v>97</v>
      </c>
      <c r="F227" s="45">
        <v>2</v>
      </c>
      <c r="G227" s="93"/>
      <c r="H227" s="93"/>
    </row>
    <row r="228" spans="1:8" ht="47.25">
      <c r="A228" s="40" t="s">
        <v>20</v>
      </c>
      <c r="B228" s="43" t="s">
        <v>54</v>
      </c>
      <c r="C228" s="43" t="s">
        <v>67</v>
      </c>
      <c r="D228" s="43" t="s">
        <v>327</v>
      </c>
      <c r="E228" s="43" t="s">
        <v>100</v>
      </c>
      <c r="F228" s="45">
        <v>22</v>
      </c>
      <c r="G228" s="45">
        <v>24</v>
      </c>
      <c r="H228" s="45">
        <v>24</v>
      </c>
    </row>
    <row r="229" spans="1:8" ht="31.5">
      <c r="A229" s="124" t="s">
        <v>329</v>
      </c>
      <c r="B229" s="43" t="s">
        <v>54</v>
      </c>
      <c r="C229" s="43" t="s">
        <v>67</v>
      </c>
      <c r="D229" s="43" t="s">
        <v>328</v>
      </c>
      <c r="E229" s="43"/>
      <c r="F229" s="45">
        <f aca="true" t="shared" si="24" ref="F229:H230">F230</f>
        <v>6</v>
      </c>
      <c r="G229" s="45">
        <f t="shared" si="24"/>
        <v>6</v>
      </c>
      <c r="H229" s="45">
        <f t="shared" si="24"/>
        <v>6</v>
      </c>
    </row>
    <row r="230" spans="1:8" ht="31.5">
      <c r="A230" s="124" t="s">
        <v>114</v>
      </c>
      <c r="B230" s="43" t="s">
        <v>54</v>
      </c>
      <c r="C230" s="43" t="s">
        <v>67</v>
      </c>
      <c r="D230" s="43" t="s">
        <v>384</v>
      </c>
      <c r="E230" s="43"/>
      <c r="F230" s="45">
        <f t="shared" si="24"/>
        <v>6</v>
      </c>
      <c r="G230" s="45">
        <f t="shared" si="24"/>
        <v>6</v>
      </c>
      <c r="H230" s="45">
        <f t="shared" si="24"/>
        <v>6</v>
      </c>
    </row>
    <row r="231" spans="1:8" ht="15.75">
      <c r="A231" s="40" t="s">
        <v>110</v>
      </c>
      <c r="B231" s="43" t="s">
        <v>54</v>
      </c>
      <c r="C231" s="43" t="s">
        <v>67</v>
      </c>
      <c r="D231" s="43" t="s">
        <v>384</v>
      </c>
      <c r="E231" s="43" t="s">
        <v>111</v>
      </c>
      <c r="F231" s="45">
        <v>6</v>
      </c>
      <c r="G231" s="45">
        <v>6</v>
      </c>
      <c r="H231" s="45">
        <v>6</v>
      </c>
    </row>
    <row r="232" spans="1:8" ht="63">
      <c r="A232" s="125" t="s">
        <v>751</v>
      </c>
      <c r="B232" s="42" t="s">
        <v>54</v>
      </c>
      <c r="C232" s="42" t="s">
        <v>67</v>
      </c>
      <c r="D232" s="42" t="s">
        <v>375</v>
      </c>
      <c r="E232" s="42"/>
      <c r="F232" s="161">
        <f>F233+F249</f>
        <v>167.8</v>
      </c>
      <c r="G232" s="161">
        <f>G233+G249</f>
        <v>166.1</v>
      </c>
      <c r="H232" s="161">
        <f>H233+H249</f>
        <v>166.1</v>
      </c>
    </row>
    <row r="233" spans="1:8" ht="48.75" customHeight="1">
      <c r="A233" s="125" t="s">
        <v>755</v>
      </c>
      <c r="B233" s="42" t="s">
        <v>54</v>
      </c>
      <c r="C233" s="42" t="s">
        <v>67</v>
      </c>
      <c r="D233" s="42" t="s">
        <v>261</v>
      </c>
      <c r="E233" s="42"/>
      <c r="F233" s="161">
        <f>F234+F237+F240+F243+F246</f>
        <v>157.8</v>
      </c>
      <c r="G233" s="161">
        <f>G234+G237+G240+G243+G246</f>
        <v>156.1</v>
      </c>
      <c r="H233" s="161">
        <f>H234+H237+H240+H243+H246</f>
        <v>156.1</v>
      </c>
    </row>
    <row r="234" spans="1:8" ht="48.75" customHeight="1">
      <c r="A234" s="125" t="s">
        <v>756</v>
      </c>
      <c r="B234" s="42" t="s">
        <v>54</v>
      </c>
      <c r="C234" s="42" t="s">
        <v>67</v>
      </c>
      <c r="D234" s="42" t="s">
        <v>262</v>
      </c>
      <c r="E234" s="42"/>
      <c r="F234" s="161">
        <f aca="true" t="shared" si="25" ref="F234:H235">F235</f>
        <v>17</v>
      </c>
      <c r="G234" s="161">
        <f t="shared" si="25"/>
        <v>17</v>
      </c>
      <c r="H234" s="161">
        <f t="shared" si="25"/>
        <v>17</v>
      </c>
    </row>
    <row r="235" spans="1:8" ht="31.5">
      <c r="A235" s="125" t="s">
        <v>259</v>
      </c>
      <c r="B235" s="42" t="s">
        <v>54</v>
      </c>
      <c r="C235" s="42" t="s">
        <v>67</v>
      </c>
      <c r="D235" s="42" t="s">
        <v>263</v>
      </c>
      <c r="E235" s="42"/>
      <c r="F235" s="161">
        <f t="shared" si="25"/>
        <v>17</v>
      </c>
      <c r="G235" s="161">
        <f t="shared" si="25"/>
        <v>17</v>
      </c>
      <c r="H235" s="161">
        <f t="shared" si="25"/>
        <v>17</v>
      </c>
    </row>
    <row r="236" spans="1:8" ht="48.75" customHeight="1">
      <c r="A236" s="125" t="s">
        <v>20</v>
      </c>
      <c r="B236" s="42" t="s">
        <v>54</v>
      </c>
      <c r="C236" s="42" t="s">
        <v>67</v>
      </c>
      <c r="D236" s="42" t="s">
        <v>263</v>
      </c>
      <c r="E236" s="42" t="s">
        <v>100</v>
      </c>
      <c r="F236" s="161">
        <v>17</v>
      </c>
      <c r="G236" s="161">
        <v>17</v>
      </c>
      <c r="H236" s="161">
        <v>17</v>
      </c>
    </row>
    <row r="237" spans="1:8" ht="63">
      <c r="A237" s="125" t="s">
        <v>757</v>
      </c>
      <c r="B237" s="42" t="s">
        <v>54</v>
      </c>
      <c r="C237" s="42" t="s">
        <v>67</v>
      </c>
      <c r="D237" s="42" t="s">
        <v>390</v>
      </c>
      <c r="E237" s="42"/>
      <c r="F237" s="161">
        <f aca="true" t="shared" si="26" ref="F237:H238">F238</f>
        <v>10</v>
      </c>
      <c r="G237" s="161">
        <f t="shared" si="26"/>
        <v>10</v>
      </c>
      <c r="H237" s="161">
        <f t="shared" si="26"/>
        <v>10</v>
      </c>
    </row>
    <row r="238" spans="1:8" ht="31.5">
      <c r="A238" s="125" t="s">
        <v>259</v>
      </c>
      <c r="B238" s="42" t="s">
        <v>54</v>
      </c>
      <c r="C238" s="42" t="s">
        <v>67</v>
      </c>
      <c r="D238" s="42" t="s">
        <v>391</v>
      </c>
      <c r="E238" s="42"/>
      <c r="F238" s="161">
        <f t="shared" si="26"/>
        <v>10</v>
      </c>
      <c r="G238" s="161">
        <f t="shared" si="26"/>
        <v>10</v>
      </c>
      <c r="H238" s="161">
        <f t="shared" si="26"/>
        <v>10</v>
      </c>
    </row>
    <row r="239" spans="1:8" ht="47.25">
      <c r="A239" s="125" t="s">
        <v>20</v>
      </c>
      <c r="B239" s="42" t="s">
        <v>54</v>
      </c>
      <c r="C239" s="42" t="s">
        <v>67</v>
      </c>
      <c r="D239" s="42" t="s">
        <v>391</v>
      </c>
      <c r="E239" s="42" t="s">
        <v>100</v>
      </c>
      <c r="F239" s="161">
        <v>10</v>
      </c>
      <c r="G239" s="161">
        <v>10</v>
      </c>
      <c r="H239" s="161">
        <v>10</v>
      </c>
    </row>
    <row r="240" spans="1:8" ht="78.75">
      <c r="A240" s="125" t="s">
        <v>758</v>
      </c>
      <c r="B240" s="42" t="s">
        <v>54</v>
      </c>
      <c r="C240" s="42" t="s">
        <v>67</v>
      </c>
      <c r="D240" s="42" t="s">
        <v>264</v>
      </c>
      <c r="E240" s="42"/>
      <c r="F240" s="161">
        <f aca="true" t="shared" si="27" ref="F240:H241">F241</f>
        <v>3</v>
      </c>
      <c r="G240" s="161">
        <f t="shared" si="27"/>
        <v>3</v>
      </c>
      <c r="H240" s="161">
        <f t="shared" si="27"/>
        <v>3</v>
      </c>
    </row>
    <row r="241" spans="1:8" ht="31.5">
      <c r="A241" s="125" t="s">
        <v>259</v>
      </c>
      <c r="B241" s="42" t="s">
        <v>54</v>
      </c>
      <c r="C241" s="42" t="s">
        <v>67</v>
      </c>
      <c r="D241" s="42" t="s">
        <v>265</v>
      </c>
      <c r="E241" s="42"/>
      <c r="F241" s="161">
        <f t="shared" si="27"/>
        <v>3</v>
      </c>
      <c r="G241" s="161">
        <f t="shared" si="27"/>
        <v>3</v>
      </c>
      <c r="H241" s="161">
        <f t="shared" si="27"/>
        <v>3</v>
      </c>
    </row>
    <row r="242" spans="1:8" ht="48.75" customHeight="1">
      <c r="A242" s="125" t="s">
        <v>20</v>
      </c>
      <c r="B242" s="42" t="s">
        <v>54</v>
      </c>
      <c r="C242" s="42" t="s">
        <v>67</v>
      </c>
      <c r="D242" s="42" t="s">
        <v>265</v>
      </c>
      <c r="E242" s="42" t="s">
        <v>100</v>
      </c>
      <c r="F242" s="161">
        <v>3</v>
      </c>
      <c r="G242" s="161">
        <v>3</v>
      </c>
      <c r="H242" s="161">
        <v>3</v>
      </c>
    </row>
    <row r="243" spans="1:8" ht="93.75" customHeight="1">
      <c r="A243" s="125" t="s">
        <v>759</v>
      </c>
      <c r="B243" s="42" t="s">
        <v>54</v>
      </c>
      <c r="C243" s="42" t="s">
        <v>67</v>
      </c>
      <c r="D243" s="42" t="s">
        <v>266</v>
      </c>
      <c r="E243" s="42"/>
      <c r="F243" s="161">
        <f aca="true" t="shared" si="28" ref="F243:H244">F244</f>
        <v>10</v>
      </c>
      <c r="G243" s="161">
        <f t="shared" si="28"/>
        <v>10</v>
      </c>
      <c r="H243" s="161">
        <f t="shared" si="28"/>
        <v>10</v>
      </c>
    </row>
    <row r="244" spans="1:8" ht="15.75">
      <c r="A244" s="125" t="s">
        <v>250</v>
      </c>
      <c r="B244" s="42" t="s">
        <v>54</v>
      </c>
      <c r="C244" s="42" t="s">
        <v>67</v>
      </c>
      <c r="D244" s="42" t="s">
        <v>760</v>
      </c>
      <c r="E244" s="42"/>
      <c r="F244" s="161">
        <f t="shared" si="28"/>
        <v>10</v>
      </c>
      <c r="G244" s="161">
        <f t="shared" si="28"/>
        <v>10</v>
      </c>
      <c r="H244" s="161">
        <f t="shared" si="28"/>
        <v>10</v>
      </c>
    </row>
    <row r="245" spans="1:8" ht="15.75">
      <c r="A245" s="125" t="s">
        <v>110</v>
      </c>
      <c r="B245" s="42" t="s">
        <v>54</v>
      </c>
      <c r="C245" s="42" t="s">
        <v>67</v>
      </c>
      <c r="D245" s="42" t="s">
        <v>760</v>
      </c>
      <c r="E245" s="42" t="s">
        <v>111</v>
      </c>
      <c r="F245" s="161">
        <v>10</v>
      </c>
      <c r="G245" s="161">
        <v>10</v>
      </c>
      <c r="H245" s="161">
        <v>10</v>
      </c>
    </row>
    <row r="246" spans="1:8" ht="47.25">
      <c r="A246" s="125" t="s">
        <v>762</v>
      </c>
      <c r="B246" s="42" t="s">
        <v>54</v>
      </c>
      <c r="C246" s="42" t="s">
        <v>67</v>
      </c>
      <c r="D246" s="42" t="s">
        <v>761</v>
      </c>
      <c r="E246" s="64"/>
      <c r="F246" s="45">
        <f aca="true" t="shared" si="29" ref="F246:H247">F247</f>
        <v>117.8</v>
      </c>
      <c r="G246" s="45">
        <f t="shared" si="29"/>
        <v>116.1</v>
      </c>
      <c r="H246" s="45">
        <f t="shared" si="29"/>
        <v>116.1</v>
      </c>
    </row>
    <row r="247" spans="1:8" ht="31.5">
      <c r="A247" s="125" t="s">
        <v>764</v>
      </c>
      <c r="B247" s="42" t="s">
        <v>54</v>
      </c>
      <c r="C247" s="42" t="s">
        <v>67</v>
      </c>
      <c r="D247" s="42" t="s">
        <v>763</v>
      </c>
      <c r="E247" s="64"/>
      <c r="F247" s="45">
        <f t="shared" si="29"/>
        <v>117.8</v>
      </c>
      <c r="G247" s="45">
        <f t="shared" si="29"/>
        <v>116.1</v>
      </c>
      <c r="H247" s="45">
        <f t="shared" si="29"/>
        <v>116.1</v>
      </c>
    </row>
    <row r="248" spans="1:8" ht="47.25">
      <c r="A248" s="125" t="s">
        <v>20</v>
      </c>
      <c r="B248" s="42" t="s">
        <v>54</v>
      </c>
      <c r="C248" s="42" t="s">
        <v>67</v>
      </c>
      <c r="D248" s="42" t="s">
        <v>763</v>
      </c>
      <c r="E248" s="64" t="s">
        <v>100</v>
      </c>
      <c r="F248" s="45">
        <v>117.8</v>
      </c>
      <c r="G248" s="45">
        <f>110.3+5.8</f>
        <v>116.1</v>
      </c>
      <c r="H248" s="45">
        <f>110.3+5.8</f>
        <v>116.1</v>
      </c>
    </row>
    <row r="249" spans="1:8" ht="48.75" customHeight="1">
      <c r="A249" s="125" t="s">
        <v>117</v>
      </c>
      <c r="B249" s="42" t="s">
        <v>54</v>
      </c>
      <c r="C249" s="42" t="s">
        <v>67</v>
      </c>
      <c r="D249" s="42" t="s">
        <v>267</v>
      </c>
      <c r="E249" s="64" t="s">
        <v>357</v>
      </c>
      <c r="F249" s="45">
        <f aca="true" t="shared" si="30" ref="F249:H251">F250</f>
        <v>10</v>
      </c>
      <c r="G249" s="45">
        <f t="shared" si="30"/>
        <v>10</v>
      </c>
      <c r="H249" s="45">
        <f t="shared" si="30"/>
        <v>10</v>
      </c>
    </row>
    <row r="250" spans="1:8" ht="48.75" customHeight="1">
      <c r="A250" s="125" t="s">
        <v>752</v>
      </c>
      <c r="B250" s="42" t="s">
        <v>54</v>
      </c>
      <c r="C250" s="42" t="s">
        <v>67</v>
      </c>
      <c r="D250" s="42" t="s">
        <v>753</v>
      </c>
      <c r="E250" s="64"/>
      <c r="F250" s="45">
        <f t="shared" si="30"/>
        <v>10</v>
      </c>
      <c r="G250" s="45">
        <f t="shared" si="30"/>
        <v>10</v>
      </c>
      <c r="H250" s="45">
        <f t="shared" si="30"/>
        <v>10</v>
      </c>
    </row>
    <row r="251" spans="1:8" ht="78.75">
      <c r="A251" s="125" t="s">
        <v>260</v>
      </c>
      <c r="B251" s="42" t="s">
        <v>54</v>
      </c>
      <c r="C251" s="42" t="s">
        <v>67</v>
      </c>
      <c r="D251" s="42" t="s">
        <v>754</v>
      </c>
      <c r="E251" s="64"/>
      <c r="F251" s="45">
        <f t="shared" si="30"/>
        <v>10</v>
      </c>
      <c r="G251" s="45">
        <f t="shared" si="30"/>
        <v>10</v>
      </c>
      <c r="H251" s="45">
        <f t="shared" si="30"/>
        <v>10</v>
      </c>
    </row>
    <row r="252" spans="1:8" ht="47.25">
      <c r="A252" s="125" t="s">
        <v>20</v>
      </c>
      <c r="B252" s="42" t="s">
        <v>54</v>
      </c>
      <c r="C252" s="42" t="s">
        <v>67</v>
      </c>
      <c r="D252" s="42" t="s">
        <v>754</v>
      </c>
      <c r="E252" s="64" t="s">
        <v>100</v>
      </c>
      <c r="F252" s="45">
        <v>10</v>
      </c>
      <c r="G252" s="45">
        <v>10</v>
      </c>
      <c r="H252" s="45">
        <v>10</v>
      </c>
    </row>
    <row r="253" spans="1:8" ht="15.75">
      <c r="A253" s="50" t="s">
        <v>68</v>
      </c>
      <c r="B253" s="46" t="s">
        <v>56</v>
      </c>
      <c r="C253" s="46"/>
      <c r="D253" s="46"/>
      <c r="E253" s="46"/>
      <c r="F253" s="93">
        <f>F262+F273+F254</f>
        <v>68538.7</v>
      </c>
      <c r="G253" s="93">
        <f>G262+G273+G254</f>
        <v>20997.8</v>
      </c>
      <c r="H253" s="93">
        <f>H262+H273+H254</f>
        <v>21357.3</v>
      </c>
    </row>
    <row r="254" spans="1:8" ht="15.75">
      <c r="A254" s="40" t="s">
        <v>197</v>
      </c>
      <c r="B254" s="43" t="s">
        <v>56</v>
      </c>
      <c r="C254" s="43" t="s">
        <v>81</v>
      </c>
      <c r="D254" s="44"/>
      <c r="E254" s="43"/>
      <c r="F254" s="45">
        <f>F257</f>
        <v>4157.1</v>
      </c>
      <c r="G254" s="45">
        <f>G257</f>
        <v>4579.400000000001</v>
      </c>
      <c r="H254" s="45">
        <f>H257</f>
        <v>4074.9000000000005</v>
      </c>
    </row>
    <row r="255" spans="1:8" ht="68.25" customHeight="1">
      <c r="A255" s="40" t="s">
        <v>745</v>
      </c>
      <c r="B255" s="43" t="s">
        <v>56</v>
      </c>
      <c r="C255" s="43" t="s">
        <v>81</v>
      </c>
      <c r="D255" s="44" t="s">
        <v>134</v>
      </c>
      <c r="E255" s="43"/>
      <c r="F255" s="45">
        <f aca="true" t="shared" si="31" ref="F255:H258">F256</f>
        <v>4157.1</v>
      </c>
      <c r="G255" s="45">
        <f t="shared" si="31"/>
        <v>4579.400000000001</v>
      </c>
      <c r="H255" s="45">
        <f t="shared" si="31"/>
        <v>4074.9000000000005</v>
      </c>
    </row>
    <row r="256" spans="1:8" ht="47.25">
      <c r="A256" s="124" t="s">
        <v>746</v>
      </c>
      <c r="B256" s="43" t="s">
        <v>56</v>
      </c>
      <c r="C256" s="43" t="s">
        <v>81</v>
      </c>
      <c r="D256" s="43" t="s">
        <v>315</v>
      </c>
      <c r="E256" s="43"/>
      <c r="F256" s="45">
        <f t="shared" si="31"/>
        <v>4157.1</v>
      </c>
      <c r="G256" s="45">
        <f t="shared" si="31"/>
        <v>4579.400000000001</v>
      </c>
      <c r="H256" s="45">
        <f t="shared" si="31"/>
        <v>4074.9000000000005</v>
      </c>
    </row>
    <row r="257" spans="1:8" ht="63">
      <c r="A257" s="124" t="s">
        <v>317</v>
      </c>
      <c r="B257" s="43" t="s">
        <v>56</v>
      </c>
      <c r="C257" s="43" t="s">
        <v>81</v>
      </c>
      <c r="D257" s="43" t="s">
        <v>316</v>
      </c>
      <c r="E257" s="43"/>
      <c r="F257" s="45">
        <f>F258+F260</f>
        <v>4157.1</v>
      </c>
      <c r="G257" s="45">
        <f>G258+G260</f>
        <v>4579.400000000001</v>
      </c>
      <c r="H257" s="45">
        <f>H258+H260</f>
        <v>4074.9000000000005</v>
      </c>
    </row>
    <row r="258" spans="1:8" ht="48" customHeight="1">
      <c r="A258" s="124" t="s">
        <v>293</v>
      </c>
      <c r="B258" s="43" t="s">
        <v>56</v>
      </c>
      <c r="C258" s="43" t="s">
        <v>81</v>
      </c>
      <c r="D258" s="43" t="s">
        <v>322</v>
      </c>
      <c r="E258" s="43"/>
      <c r="F258" s="45">
        <f t="shared" si="31"/>
        <v>0</v>
      </c>
      <c r="G258" s="45">
        <f t="shared" si="31"/>
        <v>846.8</v>
      </c>
      <c r="H258" s="45">
        <f t="shared" si="31"/>
        <v>342.3</v>
      </c>
    </row>
    <row r="259" spans="1:8" ht="47.25">
      <c r="A259" s="40" t="s">
        <v>20</v>
      </c>
      <c r="B259" s="43" t="s">
        <v>56</v>
      </c>
      <c r="C259" s="43" t="s">
        <v>81</v>
      </c>
      <c r="D259" s="43" t="s">
        <v>322</v>
      </c>
      <c r="E259" s="43" t="s">
        <v>100</v>
      </c>
      <c r="F259" s="94">
        <v>0</v>
      </c>
      <c r="G259" s="94">
        <v>846.8</v>
      </c>
      <c r="H259" s="94">
        <f>350-7.7</f>
        <v>342.3</v>
      </c>
    </row>
    <row r="260" spans="1:8" ht="63">
      <c r="A260" s="40" t="s">
        <v>495</v>
      </c>
      <c r="B260" s="43" t="s">
        <v>56</v>
      </c>
      <c r="C260" s="43" t="s">
        <v>81</v>
      </c>
      <c r="D260" s="43" t="s">
        <v>496</v>
      </c>
      <c r="E260" s="43"/>
      <c r="F260" s="59">
        <f>F261</f>
        <v>4157.1</v>
      </c>
      <c r="G260" s="59">
        <f>G261</f>
        <v>3732.6000000000004</v>
      </c>
      <c r="H260" s="59">
        <f>H261</f>
        <v>3732.6000000000004</v>
      </c>
    </row>
    <row r="261" spans="1:8" ht="47.25">
      <c r="A261" s="40" t="s">
        <v>20</v>
      </c>
      <c r="B261" s="43" t="s">
        <v>56</v>
      </c>
      <c r="C261" s="43" t="s">
        <v>81</v>
      </c>
      <c r="D261" s="43" t="s">
        <v>496</v>
      </c>
      <c r="E261" s="43" t="s">
        <v>100</v>
      </c>
      <c r="F261" s="59">
        <v>4157.1</v>
      </c>
      <c r="G261" s="59">
        <f>3695.3+37.3</f>
        <v>3732.6000000000004</v>
      </c>
      <c r="H261" s="59">
        <f>3695.3+37.3</f>
        <v>3732.6000000000004</v>
      </c>
    </row>
    <row r="262" spans="1:8" ht="15.75">
      <c r="A262" s="40" t="s">
        <v>70</v>
      </c>
      <c r="B262" s="43" t="s">
        <v>56</v>
      </c>
      <c r="C262" s="43" t="s">
        <v>65</v>
      </c>
      <c r="D262" s="43"/>
      <c r="E262" s="43"/>
      <c r="F262" s="45">
        <f aca="true" t="shared" si="32" ref="F262:H263">F263</f>
        <v>63554</v>
      </c>
      <c r="G262" s="45">
        <f t="shared" si="32"/>
        <v>15725.8</v>
      </c>
      <c r="H262" s="45">
        <f t="shared" si="32"/>
        <v>16604.8</v>
      </c>
    </row>
    <row r="263" spans="1:8" ht="68.25" customHeight="1">
      <c r="A263" s="40" t="s">
        <v>745</v>
      </c>
      <c r="B263" s="43" t="s">
        <v>56</v>
      </c>
      <c r="C263" s="43" t="s">
        <v>65</v>
      </c>
      <c r="D263" s="43" t="s">
        <v>134</v>
      </c>
      <c r="E263" s="43"/>
      <c r="F263" s="45">
        <f t="shared" si="32"/>
        <v>63554</v>
      </c>
      <c r="G263" s="45">
        <f t="shared" si="32"/>
        <v>15725.8</v>
      </c>
      <c r="H263" s="45">
        <f t="shared" si="32"/>
        <v>16604.8</v>
      </c>
    </row>
    <row r="264" spans="1:8" ht="66.75" customHeight="1">
      <c r="A264" s="40" t="s">
        <v>750</v>
      </c>
      <c r="B264" s="43" t="s">
        <v>56</v>
      </c>
      <c r="C264" s="43" t="s">
        <v>65</v>
      </c>
      <c r="D264" s="43" t="s">
        <v>319</v>
      </c>
      <c r="E264" s="43"/>
      <c r="F264" s="45">
        <f>F265+F270</f>
        <v>63554</v>
      </c>
      <c r="G264" s="45">
        <f>G265+G270</f>
        <v>15725.8</v>
      </c>
      <c r="H264" s="45">
        <f>H265+H270</f>
        <v>16604.8</v>
      </c>
    </row>
    <row r="265" spans="1:8" ht="31.5">
      <c r="A265" s="40" t="s">
        <v>135</v>
      </c>
      <c r="B265" s="43" t="s">
        <v>56</v>
      </c>
      <c r="C265" s="43" t="s">
        <v>65</v>
      </c>
      <c r="D265" s="43" t="s">
        <v>320</v>
      </c>
      <c r="E265" s="43"/>
      <c r="F265" s="45">
        <f>F266+F268</f>
        <v>63554</v>
      </c>
      <c r="G265" s="45">
        <f>G266+G268</f>
        <v>15059.3</v>
      </c>
      <c r="H265" s="45">
        <f>H266+H268</f>
        <v>15938.3</v>
      </c>
    </row>
    <row r="266" spans="1:8" ht="78.75">
      <c r="A266" s="40" t="s">
        <v>487</v>
      </c>
      <c r="B266" s="43" t="s">
        <v>56</v>
      </c>
      <c r="C266" s="43" t="s">
        <v>65</v>
      </c>
      <c r="D266" s="43" t="s">
        <v>321</v>
      </c>
      <c r="E266" s="43"/>
      <c r="F266" s="45">
        <f>F267</f>
        <v>16699.5</v>
      </c>
      <c r="G266" s="45">
        <f>G267</f>
        <v>15059.3</v>
      </c>
      <c r="H266" s="45">
        <f>H267</f>
        <v>15938.3</v>
      </c>
    </row>
    <row r="267" spans="1:8" ht="47.25">
      <c r="A267" s="40" t="s">
        <v>20</v>
      </c>
      <c r="B267" s="43" t="s">
        <v>56</v>
      </c>
      <c r="C267" s="43" t="s">
        <v>65</v>
      </c>
      <c r="D267" s="43" t="s">
        <v>321</v>
      </c>
      <c r="E267" s="43" t="s">
        <v>100</v>
      </c>
      <c r="F267" s="94">
        <f>14168+3000-468.5-6.7+6.7</f>
        <v>16699.5</v>
      </c>
      <c r="G267" s="45">
        <f>15066-6.7</f>
        <v>15059.3</v>
      </c>
      <c r="H267" s="45">
        <f>15945-6.7</f>
        <v>15938.3</v>
      </c>
    </row>
    <row r="268" spans="1:8" ht="47.25">
      <c r="A268" s="124" t="s">
        <v>500</v>
      </c>
      <c r="B268" s="43" t="s">
        <v>56</v>
      </c>
      <c r="C268" s="43" t="s">
        <v>65</v>
      </c>
      <c r="D268" s="43" t="s">
        <v>403</v>
      </c>
      <c r="E268" s="43"/>
      <c r="F268" s="59">
        <f>F269</f>
        <v>46854.5</v>
      </c>
      <c r="G268" s="59">
        <f>G269</f>
        <v>0</v>
      </c>
      <c r="H268" s="59">
        <f>H269</f>
        <v>0</v>
      </c>
    </row>
    <row r="269" spans="1:8" ht="47.25">
      <c r="A269" s="40" t="s">
        <v>20</v>
      </c>
      <c r="B269" s="43" t="s">
        <v>56</v>
      </c>
      <c r="C269" s="43" t="s">
        <v>65</v>
      </c>
      <c r="D269" s="43" t="s">
        <v>403</v>
      </c>
      <c r="E269" s="43" t="s">
        <v>100</v>
      </c>
      <c r="F269" s="59">
        <f>46386+468.5</f>
        <v>46854.5</v>
      </c>
      <c r="G269" s="45">
        <v>0</v>
      </c>
      <c r="H269" s="45">
        <v>0</v>
      </c>
    </row>
    <row r="270" spans="1:8" ht="47.25">
      <c r="A270" s="124" t="s">
        <v>594</v>
      </c>
      <c r="B270" s="43" t="s">
        <v>56</v>
      </c>
      <c r="C270" s="43" t="s">
        <v>65</v>
      </c>
      <c r="D270" s="43" t="s">
        <v>595</v>
      </c>
      <c r="E270" s="43"/>
      <c r="F270" s="59">
        <f aca="true" t="shared" si="33" ref="F270:H271">F271</f>
        <v>0</v>
      </c>
      <c r="G270" s="59">
        <f t="shared" si="33"/>
        <v>666.5</v>
      </c>
      <c r="H270" s="59">
        <f t="shared" si="33"/>
        <v>666.5</v>
      </c>
    </row>
    <row r="271" spans="1:8" ht="94.5">
      <c r="A271" s="124" t="s">
        <v>553</v>
      </c>
      <c r="B271" s="43" t="s">
        <v>56</v>
      </c>
      <c r="C271" s="43" t="s">
        <v>65</v>
      </c>
      <c r="D271" s="43" t="s">
        <v>596</v>
      </c>
      <c r="E271" s="43"/>
      <c r="F271" s="59">
        <f t="shared" si="33"/>
        <v>0</v>
      </c>
      <c r="G271" s="59">
        <f t="shared" si="33"/>
        <v>666.5</v>
      </c>
      <c r="H271" s="59">
        <f t="shared" si="33"/>
        <v>666.5</v>
      </c>
    </row>
    <row r="272" spans="1:8" ht="47.25">
      <c r="A272" s="40" t="s">
        <v>20</v>
      </c>
      <c r="B272" s="43" t="s">
        <v>56</v>
      </c>
      <c r="C272" s="43" t="s">
        <v>65</v>
      </c>
      <c r="D272" s="43" t="s">
        <v>596</v>
      </c>
      <c r="E272" s="43" t="s">
        <v>100</v>
      </c>
      <c r="F272" s="59">
        <v>0</v>
      </c>
      <c r="G272" s="59">
        <f>659.8+6.7</f>
        <v>666.5</v>
      </c>
      <c r="H272" s="59">
        <f>659.8+6.7</f>
        <v>666.5</v>
      </c>
    </row>
    <row r="273" spans="1:8" ht="31.5">
      <c r="A273" s="124" t="s">
        <v>71</v>
      </c>
      <c r="B273" s="43" t="s">
        <v>56</v>
      </c>
      <c r="C273" s="43" t="s">
        <v>72</v>
      </c>
      <c r="D273" s="43"/>
      <c r="E273" s="43"/>
      <c r="F273" s="45">
        <f>F281+F274+F288</f>
        <v>827.6</v>
      </c>
      <c r="G273" s="45">
        <f>G281+G274+G288</f>
        <v>692.6</v>
      </c>
      <c r="H273" s="45">
        <f>H281+H274+H288</f>
        <v>677.6</v>
      </c>
    </row>
    <row r="274" spans="1:8" ht="47.25">
      <c r="A274" s="40" t="s">
        <v>739</v>
      </c>
      <c r="B274" s="43" t="s">
        <v>56</v>
      </c>
      <c r="C274" s="43" t="s">
        <v>72</v>
      </c>
      <c r="D274" s="43" t="s">
        <v>196</v>
      </c>
      <c r="E274" s="43"/>
      <c r="F274" s="59">
        <f>F275+F278</f>
        <v>250</v>
      </c>
      <c r="G274" s="59">
        <f>G275+G278</f>
        <v>100</v>
      </c>
      <c r="H274" s="59">
        <f>H275+H278</f>
        <v>100</v>
      </c>
    </row>
    <row r="275" spans="1:8" ht="47.25">
      <c r="A275" s="40" t="s">
        <v>740</v>
      </c>
      <c r="B275" s="43" t="s">
        <v>56</v>
      </c>
      <c r="C275" s="43" t="s">
        <v>72</v>
      </c>
      <c r="D275" s="43" t="s">
        <v>741</v>
      </c>
      <c r="E275" s="74"/>
      <c r="F275" s="45">
        <f>F276</f>
        <v>200</v>
      </c>
      <c r="G275" s="45">
        <f>G278</f>
        <v>50</v>
      </c>
      <c r="H275" s="45">
        <f>H278</f>
        <v>50</v>
      </c>
    </row>
    <row r="276" spans="1:8" ht="31.5">
      <c r="A276" s="162" t="s">
        <v>346</v>
      </c>
      <c r="B276" s="43" t="s">
        <v>56</v>
      </c>
      <c r="C276" s="43" t="s">
        <v>72</v>
      </c>
      <c r="D276" s="163" t="s">
        <v>742</v>
      </c>
      <c r="E276" s="164"/>
      <c r="F276" s="147">
        <f aca="true" t="shared" si="34" ref="F276:H279">F277</f>
        <v>200</v>
      </c>
      <c r="G276" s="147">
        <f t="shared" si="34"/>
        <v>50</v>
      </c>
      <c r="H276" s="147">
        <f t="shared" si="34"/>
        <v>50</v>
      </c>
    </row>
    <row r="277" spans="1:8" ht="47.25">
      <c r="A277" s="165" t="s">
        <v>20</v>
      </c>
      <c r="B277" s="43" t="s">
        <v>56</v>
      </c>
      <c r="C277" s="43" t="s">
        <v>72</v>
      </c>
      <c r="D277" s="163" t="s">
        <v>742</v>
      </c>
      <c r="E277" s="166" t="s">
        <v>100</v>
      </c>
      <c r="F277" s="126">
        <v>200</v>
      </c>
      <c r="G277" s="126">
        <v>50</v>
      </c>
      <c r="H277" s="126">
        <v>50</v>
      </c>
    </row>
    <row r="278" spans="1:8" ht="47.25">
      <c r="A278" s="40" t="s">
        <v>392</v>
      </c>
      <c r="B278" s="43" t="s">
        <v>56</v>
      </c>
      <c r="C278" s="43" t="s">
        <v>72</v>
      </c>
      <c r="D278" s="43" t="s">
        <v>743</v>
      </c>
      <c r="E278" s="43"/>
      <c r="F278" s="45">
        <f t="shared" si="34"/>
        <v>50</v>
      </c>
      <c r="G278" s="45">
        <f t="shared" si="34"/>
        <v>50</v>
      </c>
      <c r="H278" s="45">
        <f t="shared" si="34"/>
        <v>50</v>
      </c>
    </row>
    <row r="279" spans="1:8" ht="31.5">
      <c r="A279" s="162" t="s">
        <v>346</v>
      </c>
      <c r="B279" s="43" t="s">
        <v>56</v>
      </c>
      <c r="C279" s="43" t="s">
        <v>72</v>
      </c>
      <c r="D279" s="163" t="s">
        <v>744</v>
      </c>
      <c r="E279" s="164"/>
      <c r="F279" s="147">
        <f t="shared" si="34"/>
        <v>50</v>
      </c>
      <c r="G279" s="147">
        <f t="shared" si="34"/>
        <v>50</v>
      </c>
      <c r="H279" s="147">
        <f t="shared" si="34"/>
        <v>50</v>
      </c>
    </row>
    <row r="280" spans="1:8" ht="47.25">
      <c r="A280" s="165" t="s">
        <v>20</v>
      </c>
      <c r="B280" s="43" t="s">
        <v>56</v>
      </c>
      <c r="C280" s="43" t="s">
        <v>72</v>
      </c>
      <c r="D280" s="163" t="s">
        <v>744</v>
      </c>
      <c r="E280" s="166" t="s">
        <v>100</v>
      </c>
      <c r="F280" s="126">
        <v>50</v>
      </c>
      <c r="G280" s="126">
        <v>50</v>
      </c>
      <c r="H280" s="126">
        <v>50</v>
      </c>
    </row>
    <row r="281" spans="1:8" ht="63">
      <c r="A281" s="124" t="s">
        <v>767</v>
      </c>
      <c r="B281" s="43" t="s">
        <v>56</v>
      </c>
      <c r="C281" s="43" t="s">
        <v>72</v>
      </c>
      <c r="D281" s="43" t="s">
        <v>133</v>
      </c>
      <c r="E281" s="43"/>
      <c r="F281" s="45">
        <f>F282+F285</f>
        <v>577.6</v>
      </c>
      <c r="G281" s="45">
        <f>G282+G285</f>
        <v>577.6</v>
      </c>
      <c r="H281" s="45">
        <f>H282+H285</f>
        <v>577.6</v>
      </c>
    </row>
    <row r="282" spans="1:8" ht="78.75">
      <c r="A282" s="124" t="s">
        <v>768</v>
      </c>
      <c r="B282" s="43" t="s">
        <v>56</v>
      </c>
      <c r="C282" s="43" t="s">
        <v>72</v>
      </c>
      <c r="D282" s="43" t="s">
        <v>269</v>
      </c>
      <c r="E282" s="43"/>
      <c r="F282" s="45">
        <f aca="true" t="shared" si="35" ref="F282:H283">F283</f>
        <v>45</v>
      </c>
      <c r="G282" s="45">
        <f t="shared" si="35"/>
        <v>45</v>
      </c>
      <c r="H282" s="45">
        <f t="shared" si="35"/>
        <v>45</v>
      </c>
    </row>
    <row r="283" spans="1:8" ht="47.25">
      <c r="A283" s="124" t="s">
        <v>105</v>
      </c>
      <c r="B283" s="43" t="s">
        <v>56</v>
      </c>
      <c r="C283" s="43" t="s">
        <v>72</v>
      </c>
      <c r="D283" s="43" t="s">
        <v>270</v>
      </c>
      <c r="E283" s="43"/>
      <c r="F283" s="45">
        <f t="shared" si="35"/>
        <v>45</v>
      </c>
      <c r="G283" s="45">
        <f t="shared" si="35"/>
        <v>45</v>
      </c>
      <c r="H283" s="45">
        <f t="shared" si="35"/>
        <v>45</v>
      </c>
    </row>
    <row r="284" spans="1:8" ht="47.25">
      <c r="A284" s="40" t="s">
        <v>20</v>
      </c>
      <c r="B284" s="43" t="s">
        <v>56</v>
      </c>
      <c r="C284" s="43" t="s">
        <v>72</v>
      </c>
      <c r="D284" s="43" t="s">
        <v>270</v>
      </c>
      <c r="E284" s="43" t="s">
        <v>100</v>
      </c>
      <c r="F284" s="45">
        <v>45</v>
      </c>
      <c r="G284" s="45">
        <v>45</v>
      </c>
      <c r="H284" s="45">
        <v>45</v>
      </c>
    </row>
    <row r="285" spans="1:8" ht="63">
      <c r="A285" s="40" t="s">
        <v>271</v>
      </c>
      <c r="B285" s="43" t="s">
        <v>56</v>
      </c>
      <c r="C285" s="43" t="s">
        <v>72</v>
      </c>
      <c r="D285" s="43" t="s">
        <v>272</v>
      </c>
      <c r="E285" s="43"/>
      <c r="F285" s="45">
        <f aca="true" t="shared" si="36" ref="F285:H286">F286</f>
        <v>532.6</v>
      </c>
      <c r="G285" s="45">
        <f t="shared" si="36"/>
        <v>532.6</v>
      </c>
      <c r="H285" s="45">
        <f t="shared" si="36"/>
        <v>532.6</v>
      </c>
    </row>
    <row r="286" spans="1:8" ht="47.25">
      <c r="A286" s="40" t="s">
        <v>769</v>
      </c>
      <c r="B286" s="43" t="s">
        <v>56</v>
      </c>
      <c r="C286" s="43" t="s">
        <v>72</v>
      </c>
      <c r="D286" s="43" t="s">
        <v>273</v>
      </c>
      <c r="E286" s="43"/>
      <c r="F286" s="45">
        <f t="shared" si="36"/>
        <v>532.6</v>
      </c>
      <c r="G286" s="45">
        <f t="shared" si="36"/>
        <v>532.6</v>
      </c>
      <c r="H286" s="45">
        <f t="shared" si="36"/>
        <v>532.6</v>
      </c>
    </row>
    <row r="287" spans="1:8" ht="78.75">
      <c r="A287" s="40" t="s">
        <v>355</v>
      </c>
      <c r="B287" s="43" t="s">
        <v>56</v>
      </c>
      <c r="C287" s="43" t="s">
        <v>72</v>
      </c>
      <c r="D287" s="43" t="s">
        <v>273</v>
      </c>
      <c r="E287" s="43" t="s">
        <v>356</v>
      </c>
      <c r="F287" s="94">
        <f>506+26.6</f>
        <v>532.6</v>
      </c>
      <c r="G287" s="94">
        <f>506+26.6</f>
        <v>532.6</v>
      </c>
      <c r="H287" s="94">
        <f>506+26.6</f>
        <v>532.6</v>
      </c>
    </row>
    <row r="288" spans="1:8" ht="15.75">
      <c r="A288" s="37" t="s">
        <v>227</v>
      </c>
      <c r="B288" s="43" t="s">
        <v>56</v>
      </c>
      <c r="C288" s="43" t="s">
        <v>72</v>
      </c>
      <c r="D288" s="43" t="s">
        <v>296</v>
      </c>
      <c r="E288" s="43"/>
      <c r="F288" s="59">
        <f aca="true" t="shared" si="37" ref="F288:H289">F289</f>
        <v>0</v>
      </c>
      <c r="G288" s="59">
        <f t="shared" si="37"/>
        <v>15</v>
      </c>
      <c r="H288" s="59">
        <f t="shared" si="37"/>
        <v>0</v>
      </c>
    </row>
    <row r="289" spans="1:8" ht="15.75">
      <c r="A289" s="40" t="s">
        <v>285</v>
      </c>
      <c r="B289" s="43" t="s">
        <v>56</v>
      </c>
      <c r="C289" s="43" t="s">
        <v>72</v>
      </c>
      <c r="D289" s="43" t="s">
        <v>533</v>
      </c>
      <c r="E289" s="43"/>
      <c r="F289" s="59">
        <f t="shared" si="37"/>
        <v>0</v>
      </c>
      <c r="G289" s="59">
        <f t="shared" si="37"/>
        <v>15</v>
      </c>
      <c r="H289" s="59">
        <f t="shared" si="37"/>
        <v>0</v>
      </c>
    </row>
    <row r="290" spans="1:8" ht="47.25">
      <c r="A290" s="40" t="s">
        <v>20</v>
      </c>
      <c r="B290" s="43" t="s">
        <v>56</v>
      </c>
      <c r="C290" s="43" t="s">
        <v>72</v>
      </c>
      <c r="D290" s="43" t="s">
        <v>533</v>
      </c>
      <c r="E290" s="43" t="s">
        <v>100</v>
      </c>
      <c r="F290" s="59">
        <v>0</v>
      </c>
      <c r="G290" s="45">
        <v>15</v>
      </c>
      <c r="H290" s="45">
        <v>0</v>
      </c>
    </row>
    <row r="291" spans="1:8" ht="15.75">
      <c r="A291" s="50" t="s">
        <v>73</v>
      </c>
      <c r="B291" s="46" t="s">
        <v>69</v>
      </c>
      <c r="C291" s="46"/>
      <c r="D291" s="46"/>
      <c r="E291" s="46"/>
      <c r="F291" s="93">
        <f>F292+F316+F366+F423</f>
        <v>350818.19999999995</v>
      </c>
      <c r="G291" s="93">
        <f>G292+G316+G366+G423</f>
        <v>241146.1</v>
      </c>
      <c r="H291" s="93">
        <f>H292+H316+H366+H423</f>
        <v>15867</v>
      </c>
    </row>
    <row r="292" spans="1:8" ht="15.75">
      <c r="A292" s="40" t="s">
        <v>74</v>
      </c>
      <c r="B292" s="43" t="s">
        <v>69</v>
      </c>
      <c r="C292" s="43" t="s">
        <v>51</v>
      </c>
      <c r="D292" s="43"/>
      <c r="E292" s="43"/>
      <c r="F292" s="45">
        <f>F293+F305+F313</f>
        <v>245549.2</v>
      </c>
      <c r="G292" s="45">
        <f>G293+G305</f>
        <v>205556.5</v>
      </c>
      <c r="H292" s="45">
        <f>H293+H305</f>
        <v>2520</v>
      </c>
    </row>
    <row r="293" spans="1:8" ht="63">
      <c r="A293" s="40" t="s">
        <v>825</v>
      </c>
      <c r="B293" s="43" t="s">
        <v>69</v>
      </c>
      <c r="C293" s="43" t="s">
        <v>51</v>
      </c>
      <c r="D293" s="43" t="s">
        <v>334</v>
      </c>
      <c r="E293" s="43"/>
      <c r="F293" s="94">
        <f>F294+F301</f>
        <v>2884.4</v>
      </c>
      <c r="G293" s="94">
        <f>G294</f>
        <v>2520</v>
      </c>
      <c r="H293" s="94">
        <f>H294</f>
        <v>2520</v>
      </c>
    </row>
    <row r="294" spans="1:8" ht="31.5">
      <c r="A294" s="40" t="s">
        <v>826</v>
      </c>
      <c r="B294" s="43" t="s">
        <v>69</v>
      </c>
      <c r="C294" s="43" t="s">
        <v>51</v>
      </c>
      <c r="D294" s="43" t="s">
        <v>335</v>
      </c>
      <c r="E294" s="43"/>
      <c r="F294" s="94">
        <f>F295+F298</f>
        <v>2882.3</v>
      </c>
      <c r="G294" s="94">
        <f>G295+G298</f>
        <v>2520</v>
      </c>
      <c r="H294" s="94">
        <f>H295+H298</f>
        <v>2520</v>
      </c>
    </row>
    <row r="295" spans="1:8" ht="47.25">
      <c r="A295" s="40" t="s">
        <v>828</v>
      </c>
      <c r="B295" s="43" t="s">
        <v>69</v>
      </c>
      <c r="C295" s="43" t="s">
        <v>51</v>
      </c>
      <c r="D295" s="43" t="s">
        <v>338</v>
      </c>
      <c r="E295" s="43"/>
      <c r="F295" s="94">
        <f aca="true" t="shared" si="38" ref="F295:H296">F296</f>
        <v>1770</v>
      </c>
      <c r="G295" s="45">
        <f t="shared" si="38"/>
        <v>1470</v>
      </c>
      <c r="H295" s="45">
        <f t="shared" si="38"/>
        <v>1470</v>
      </c>
    </row>
    <row r="296" spans="1:8" ht="31.5">
      <c r="A296" s="40" t="s">
        <v>981</v>
      </c>
      <c r="B296" s="43" t="s">
        <v>69</v>
      </c>
      <c r="C296" s="43" t="s">
        <v>51</v>
      </c>
      <c r="D296" s="43" t="s">
        <v>339</v>
      </c>
      <c r="E296" s="43"/>
      <c r="F296" s="94">
        <f t="shared" si="38"/>
        <v>1770</v>
      </c>
      <c r="G296" s="45">
        <f t="shared" si="38"/>
        <v>1470</v>
      </c>
      <c r="H296" s="45">
        <f t="shared" si="38"/>
        <v>1470</v>
      </c>
    </row>
    <row r="297" spans="1:8" ht="47.25">
      <c r="A297" s="40" t="s">
        <v>20</v>
      </c>
      <c r="B297" s="43" t="s">
        <v>69</v>
      </c>
      <c r="C297" s="43" t="s">
        <v>51</v>
      </c>
      <c r="D297" s="43" t="s">
        <v>339</v>
      </c>
      <c r="E297" s="43" t="s">
        <v>100</v>
      </c>
      <c r="F297" s="94">
        <v>1770</v>
      </c>
      <c r="G297" s="94">
        <v>1470</v>
      </c>
      <c r="H297" s="94">
        <v>1470</v>
      </c>
    </row>
    <row r="298" spans="1:8" ht="31.5">
      <c r="A298" s="40" t="s">
        <v>333</v>
      </c>
      <c r="B298" s="43" t="s">
        <v>69</v>
      </c>
      <c r="C298" s="43" t="s">
        <v>51</v>
      </c>
      <c r="D298" s="43" t="s">
        <v>340</v>
      </c>
      <c r="E298" s="43"/>
      <c r="F298" s="94">
        <f aca="true" t="shared" si="39" ref="F298:H299">F299</f>
        <v>1112.3</v>
      </c>
      <c r="G298" s="45">
        <f t="shared" si="39"/>
        <v>1050</v>
      </c>
      <c r="H298" s="45">
        <f t="shared" si="39"/>
        <v>1050</v>
      </c>
    </row>
    <row r="299" spans="1:8" ht="47.25">
      <c r="A299" s="40" t="s">
        <v>829</v>
      </c>
      <c r="B299" s="43" t="s">
        <v>69</v>
      </c>
      <c r="C299" s="43" t="s">
        <v>51</v>
      </c>
      <c r="D299" s="43" t="s">
        <v>341</v>
      </c>
      <c r="E299" s="43"/>
      <c r="F299" s="94">
        <f t="shared" si="39"/>
        <v>1112.3</v>
      </c>
      <c r="G299" s="45">
        <f t="shared" si="39"/>
        <v>1050</v>
      </c>
      <c r="H299" s="45">
        <f t="shared" si="39"/>
        <v>1050</v>
      </c>
    </row>
    <row r="300" spans="1:8" ht="47.25">
      <c r="A300" s="40" t="s">
        <v>20</v>
      </c>
      <c r="B300" s="43" t="s">
        <v>69</v>
      </c>
      <c r="C300" s="43" t="s">
        <v>51</v>
      </c>
      <c r="D300" s="43" t="s">
        <v>341</v>
      </c>
      <c r="E300" s="43" t="s">
        <v>100</v>
      </c>
      <c r="F300" s="94">
        <f>1050+62.3</f>
        <v>1112.3</v>
      </c>
      <c r="G300" s="94">
        <v>1050</v>
      </c>
      <c r="H300" s="94">
        <v>1050</v>
      </c>
    </row>
    <row r="301" spans="1:8" ht="126">
      <c r="A301" s="40" t="s">
        <v>830</v>
      </c>
      <c r="B301" s="43" t="s">
        <v>69</v>
      </c>
      <c r="C301" s="43" t="s">
        <v>51</v>
      </c>
      <c r="D301" s="43" t="s">
        <v>342</v>
      </c>
      <c r="E301" s="43"/>
      <c r="F301" s="94">
        <f>F302</f>
        <v>2.1</v>
      </c>
      <c r="G301" s="94">
        <f>G302</f>
        <v>0</v>
      </c>
      <c r="H301" s="94">
        <f>H302</f>
        <v>0</v>
      </c>
    </row>
    <row r="302" spans="1:8" ht="63">
      <c r="A302" s="40" t="s">
        <v>832</v>
      </c>
      <c r="B302" s="43" t="s">
        <v>69</v>
      </c>
      <c r="C302" s="43" t="s">
        <v>51</v>
      </c>
      <c r="D302" s="43" t="s">
        <v>515</v>
      </c>
      <c r="E302" s="43"/>
      <c r="F302" s="94">
        <f aca="true" t="shared" si="40" ref="F302:H303">F303</f>
        <v>2.1</v>
      </c>
      <c r="G302" s="45">
        <f t="shared" si="40"/>
        <v>0</v>
      </c>
      <c r="H302" s="45">
        <f t="shared" si="40"/>
        <v>0</v>
      </c>
    </row>
    <row r="303" spans="1:8" ht="47.25">
      <c r="A303" s="40" t="s">
        <v>224</v>
      </c>
      <c r="B303" s="43" t="s">
        <v>69</v>
      </c>
      <c r="C303" s="43" t="s">
        <v>51</v>
      </c>
      <c r="D303" s="43" t="s">
        <v>516</v>
      </c>
      <c r="E303" s="43"/>
      <c r="F303" s="94">
        <f t="shared" si="40"/>
        <v>2.1</v>
      </c>
      <c r="G303" s="45">
        <f t="shared" si="40"/>
        <v>0</v>
      </c>
      <c r="H303" s="45">
        <f t="shared" si="40"/>
        <v>0</v>
      </c>
    </row>
    <row r="304" spans="1:8" ht="47.25">
      <c r="A304" s="40" t="s">
        <v>20</v>
      </c>
      <c r="B304" s="43" t="s">
        <v>69</v>
      </c>
      <c r="C304" s="43" t="s">
        <v>51</v>
      </c>
      <c r="D304" s="43" t="s">
        <v>516</v>
      </c>
      <c r="E304" s="43" t="s">
        <v>100</v>
      </c>
      <c r="F304" s="94">
        <v>2.1</v>
      </c>
      <c r="G304" s="94">
        <v>0</v>
      </c>
      <c r="H304" s="94">
        <v>0</v>
      </c>
    </row>
    <row r="305" spans="1:8" ht="63">
      <c r="A305" s="167" t="s">
        <v>774</v>
      </c>
      <c r="B305" s="43" t="s">
        <v>69</v>
      </c>
      <c r="C305" s="43" t="s">
        <v>51</v>
      </c>
      <c r="D305" s="43" t="s">
        <v>434</v>
      </c>
      <c r="E305" s="43"/>
      <c r="F305" s="59">
        <f>F306</f>
        <v>242664.80000000002</v>
      </c>
      <c r="G305" s="59">
        <f>G306</f>
        <v>203036.5</v>
      </c>
      <c r="H305" s="59">
        <f>H306</f>
        <v>0</v>
      </c>
    </row>
    <row r="306" spans="1:8" ht="63">
      <c r="A306" s="40" t="s">
        <v>436</v>
      </c>
      <c r="B306" s="43" t="s">
        <v>69</v>
      </c>
      <c r="C306" s="43" t="s">
        <v>51</v>
      </c>
      <c r="D306" s="43" t="s">
        <v>435</v>
      </c>
      <c r="E306" s="43"/>
      <c r="F306" s="59">
        <f>F307+F309+F311</f>
        <v>242664.80000000002</v>
      </c>
      <c r="G306" s="59">
        <f>G307+G309+G311</f>
        <v>203036.5</v>
      </c>
      <c r="H306" s="59">
        <f>H307+H309+H311</f>
        <v>0</v>
      </c>
    </row>
    <row r="307" spans="1:8" ht="141.75">
      <c r="A307" s="40" t="s">
        <v>427</v>
      </c>
      <c r="B307" s="43" t="s">
        <v>69</v>
      </c>
      <c r="C307" s="43" t="s">
        <v>51</v>
      </c>
      <c r="D307" s="43" t="s">
        <v>437</v>
      </c>
      <c r="E307" s="43"/>
      <c r="F307" s="59">
        <f>F308</f>
        <v>63329.1</v>
      </c>
      <c r="G307" s="59">
        <f>G308</f>
        <v>80028</v>
      </c>
      <c r="H307" s="59">
        <f>H308</f>
        <v>0</v>
      </c>
    </row>
    <row r="308" spans="1:8" ht="15.75">
      <c r="A308" s="40" t="s">
        <v>420</v>
      </c>
      <c r="B308" s="43" t="s">
        <v>69</v>
      </c>
      <c r="C308" s="43" t="s">
        <v>51</v>
      </c>
      <c r="D308" s="43" t="s">
        <v>437</v>
      </c>
      <c r="E308" s="43" t="s">
        <v>419</v>
      </c>
      <c r="F308" s="45">
        <v>63329.1</v>
      </c>
      <c r="G308" s="45">
        <v>80028</v>
      </c>
      <c r="H308" s="45">
        <v>0</v>
      </c>
    </row>
    <row r="309" spans="1:8" ht="110.25">
      <c r="A309" s="40" t="s">
        <v>439</v>
      </c>
      <c r="B309" s="43" t="s">
        <v>69</v>
      </c>
      <c r="C309" s="43" t="s">
        <v>51</v>
      </c>
      <c r="D309" s="43" t="s">
        <v>438</v>
      </c>
      <c r="E309" s="43"/>
      <c r="F309" s="59">
        <f aca="true" t="shared" si="41" ref="F309:H311">F310</f>
        <v>179327.5</v>
      </c>
      <c r="G309" s="59">
        <f t="shared" si="41"/>
        <v>123002.5</v>
      </c>
      <c r="H309" s="59">
        <f t="shared" si="41"/>
        <v>0</v>
      </c>
    </row>
    <row r="310" spans="1:8" ht="15.75">
      <c r="A310" s="40" t="s">
        <v>420</v>
      </c>
      <c r="B310" s="43" t="s">
        <v>69</v>
      </c>
      <c r="C310" s="43" t="s">
        <v>51</v>
      </c>
      <c r="D310" s="43" t="s">
        <v>438</v>
      </c>
      <c r="E310" s="43" t="s">
        <v>419</v>
      </c>
      <c r="F310" s="45">
        <v>179327.5</v>
      </c>
      <c r="G310" s="45">
        <v>123002.5</v>
      </c>
      <c r="H310" s="45">
        <v>0</v>
      </c>
    </row>
    <row r="311" spans="1:8" ht="110.25">
      <c r="A311" s="40" t="s">
        <v>441</v>
      </c>
      <c r="B311" s="43" t="s">
        <v>69</v>
      </c>
      <c r="C311" s="43" t="s">
        <v>51</v>
      </c>
      <c r="D311" s="43" t="s">
        <v>440</v>
      </c>
      <c r="E311" s="43"/>
      <c r="F311" s="59">
        <f t="shared" si="41"/>
        <v>8.2</v>
      </c>
      <c r="G311" s="59">
        <f t="shared" si="41"/>
        <v>6</v>
      </c>
      <c r="H311" s="59">
        <f t="shared" si="41"/>
        <v>0</v>
      </c>
    </row>
    <row r="312" spans="1:8" ht="47.25">
      <c r="A312" s="40" t="s">
        <v>20</v>
      </c>
      <c r="B312" s="43" t="s">
        <v>69</v>
      </c>
      <c r="C312" s="43" t="s">
        <v>51</v>
      </c>
      <c r="D312" s="43" t="s">
        <v>440</v>
      </c>
      <c r="E312" s="43" t="s">
        <v>100</v>
      </c>
      <c r="F312" s="59">
        <v>8.2</v>
      </c>
      <c r="G312" s="59">
        <v>6</v>
      </c>
      <c r="H312" s="59">
        <v>0</v>
      </c>
    </row>
    <row r="313" spans="1:8" ht="15.75" hidden="1">
      <c r="A313" s="40" t="s">
        <v>214</v>
      </c>
      <c r="B313" s="43" t="s">
        <v>69</v>
      </c>
      <c r="C313" s="43" t="s">
        <v>51</v>
      </c>
      <c r="D313" s="43" t="s">
        <v>372</v>
      </c>
      <c r="E313" s="43"/>
      <c r="F313" s="59">
        <f aca="true" t="shared" si="42" ref="F313:H314">F314</f>
        <v>0</v>
      </c>
      <c r="G313" s="45">
        <f t="shared" si="42"/>
        <v>0</v>
      </c>
      <c r="H313" s="45">
        <f t="shared" si="42"/>
        <v>0</v>
      </c>
    </row>
    <row r="314" spans="1:8" ht="15.75" hidden="1">
      <c r="A314" s="40" t="s">
        <v>215</v>
      </c>
      <c r="B314" s="43" t="s">
        <v>69</v>
      </c>
      <c r="C314" s="43" t="s">
        <v>51</v>
      </c>
      <c r="D314" s="43" t="s">
        <v>373</v>
      </c>
      <c r="E314" s="43"/>
      <c r="F314" s="59">
        <f t="shared" si="42"/>
        <v>0</v>
      </c>
      <c r="G314" s="45">
        <f t="shared" si="42"/>
        <v>0</v>
      </c>
      <c r="H314" s="45">
        <f t="shared" si="42"/>
        <v>0</v>
      </c>
    </row>
    <row r="315" spans="1:8" ht="47.25" hidden="1">
      <c r="A315" s="40" t="s">
        <v>20</v>
      </c>
      <c r="B315" s="43" t="s">
        <v>69</v>
      </c>
      <c r="C315" s="43" t="s">
        <v>51</v>
      </c>
      <c r="D315" s="43" t="s">
        <v>373</v>
      </c>
      <c r="E315" s="43" t="s">
        <v>100</v>
      </c>
      <c r="F315" s="59">
        <v>0</v>
      </c>
      <c r="G315" s="59">
        <v>0</v>
      </c>
      <c r="H315" s="59">
        <v>0</v>
      </c>
    </row>
    <row r="316" spans="1:8" ht="15.75">
      <c r="A316" s="40" t="s">
        <v>208</v>
      </c>
      <c r="B316" s="43" t="s">
        <v>69</v>
      </c>
      <c r="C316" s="43" t="s">
        <v>52</v>
      </c>
      <c r="D316" s="43"/>
      <c r="E316" s="43"/>
      <c r="F316" s="45">
        <f>F317+F346+F356+F363</f>
        <v>78558.9</v>
      </c>
      <c r="G316" s="45">
        <f>G317+G346+G356+G363</f>
        <v>22274.700000000004</v>
      </c>
      <c r="H316" s="45">
        <f>H317+H346+H356+H363</f>
        <v>2191</v>
      </c>
    </row>
    <row r="317" spans="1:8" ht="47.25">
      <c r="A317" s="40" t="s">
        <v>840</v>
      </c>
      <c r="B317" s="43" t="s">
        <v>69</v>
      </c>
      <c r="C317" s="43" t="s">
        <v>52</v>
      </c>
      <c r="D317" s="43" t="s">
        <v>368</v>
      </c>
      <c r="E317" s="74"/>
      <c r="F317" s="45">
        <f>F321+F318+F337+F340+F328</f>
        <v>24491.6</v>
      </c>
      <c r="G317" s="45">
        <f>G321+G318+G337+G340+G328</f>
        <v>1800</v>
      </c>
      <c r="H317" s="45">
        <f>H321+H318+H337+H340+H328</f>
        <v>1800</v>
      </c>
    </row>
    <row r="318" spans="1:8" ht="94.5">
      <c r="A318" s="40" t="s">
        <v>841</v>
      </c>
      <c r="B318" s="43" t="s">
        <v>69</v>
      </c>
      <c r="C318" s="43" t="s">
        <v>52</v>
      </c>
      <c r="D318" s="43" t="s">
        <v>407</v>
      </c>
      <c r="E318" s="43"/>
      <c r="F318" s="145">
        <f aca="true" t="shared" si="43" ref="F318:H319">F319</f>
        <v>0</v>
      </c>
      <c r="G318" s="145">
        <f t="shared" si="43"/>
        <v>1300</v>
      </c>
      <c r="H318" s="145">
        <f t="shared" si="43"/>
        <v>1300</v>
      </c>
    </row>
    <row r="319" spans="1:8" ht="63">
      <c r="A319" s="40" t="s">
        <v>842</v>
      </c>
      <c r="B319" s="43" t="s">
        <v>69</v>
      </c>
      <c r="C319" s="43" t="s">
        <v>52</v>
      </c>
      <c r="D319" s="43" t="s">
        <v>408</v>
      </c>
      <c r="E319" s="43"/>
      <c r="F319" s="145">
        <f t="shared" si="43"/>
        <v>0</v>
      </c>
      <c r="G319" s="145">
        <f t="shared" si="43"/>
        <v>1300</v>
      </c>
      <c r="H319" s="145">
        <f t="shared" si="43"/>
        <v>1300</v>
      </c>
    </row>
    <row r="320" spans="1:8" ht="78.75">
      <c r="A320" s="40" t="s">
        <v>355</v>
      </c>
      <c r="B320" s="43" t="s">
        <v>69</v>
      </c>
      <c r="C320" s="43" t="s">
        <v>52</v>
      </c>
      <c r="D320" s="43" t="s">
        <v>408</v>
      </c>
      <c r="E320" s="43" t="s">
        <v>356</v>
      </c>
      <c r="F320" s="145">
        <v>0</v>
      </c>
      <c r="G320" s="145">
        <v>1300</v>
      </c>
      <c r="H320" s="145">
        <v>1300</v>
      </c>
    </row>
    <row r="321" spans="1:8" ht="63">
      <c r="A321" s="40" t="s">
        <v>843</v>
      </c>
      <c r="B321" s="43" t="s">
        <v>69</v>
      </c>
      <c r="C321" s="43" t="s">
        <v>52</v>
      </c>
      <c r="D321" s="43" t="s">
        <v>345</v>
      </c>
      <c r="E321" s="74"/>
      <c r="F321" s="45">
        <f>F324+F326+F322</f>
        <v>7040.099999999999</v>
      </c>
      <c r="G321" s="45">
        <f>G324+G326+G322</f>
        <v>0</v>
      </c>
      <c r="H321" s="45">
        <f>H324+H326+H322</f>
        <v>0</v>
      </c>
    </row>
    <row r="322" spans="1:8" ht="31.5">
      <c r="A322" s="40" t="s">
        <v>442</v>
      </c>
      <c r="B322" s="43" t="s">
        <v>69</v>
      </c>
      <c r="C322" s="43" t="s">
        <v>52</v>
      </c>
      <c r="D322" s="43" t="s">
        <v>443</v>
      </c>
      <c r="E322" s="43"/>
      <c r="F322" s="59">
        <f>F323</f>
        <v>776</v>
      </c>
      <c r="G322" s="59">
        <f>G323</f>
        <v>0</v>
      </c>
      <c r="H322" s="59">
        <f>H323</f>
        <v>0</v>
      </c>
    </row>
    <row r="323" spans="1:8" ht="47.25">
      <c r="A323" s="40" t="s">
        <v>20</v>
      </c>
      <c r="B323" s="43" t="s">
        <v>69</v>
      </c>
      <c r="C323" s="43" t="s">
        <v>52</v>
      </c>
      <c r="D323" s="43" t="s">
        <v>443</v>
      </c>
      <c r="E323" s="43" t="s">
        <v>100</v>
      </c>
      <c r="F323" s="59">
        <v>776</v>
      </c>
      <c r="G323" s="59">
        <v>0</v>
      </c>
      <c r="H323" s="59">
        <v>0</v>
      </c>
    </row>
    <row r="324" spans="1:8" ht="31.5">
      <c r="A324" s="40" t="s">
        <v>421</v>
      </c>
      <c r="B324" s="43" t="s">
        <v>69</v>
      </c>
      <c r="C324" s="43" t="s">
        <v>52</v>
      </c>
      <c r="D324" s="43" t="s">
        <v>400</v>
      </c>
      <c r="E324" s="74"/>
      <c r="F324" s="94">
        <f>F325</f>
        <v>5950.9</v>
      </c>
      <c r="G324" s="94">
        <f>G325</f>
        <v>0</v>
      </c>
      <c r="H324" s="94">
        <f>H325</f>
        <v>0</v>
      </c>
    </row>
    <row r="325" spans="1:8" ht="47.25">
      <c r="A325" s="40" t="s">
        <v>20</v>
      </c>
      <c r="B325" s="43" t="s">
        <v>69</v>
      </c>
      <c r="C325" s="43" t="s">
        <v>52</v>
      </c>
      <c r="D325" s="43" t="s">
        <v>400</v>
      </c>
      <c r="E325" s="74" t="s">
        <v>100</v>
      </c>
      <c r="F325" s="94">
        <v>5950.9</v>
      </c>
      <c r="G325" s="45">
        <v>0</v>
      </c>
      <c r="H325" s="45">
        <v>0</v>
      </c>
    </row>
    <row r="326" spans="1:8" ht="52.5" customHeight="1">
      <c r="A326" s="40" t="s">
        <v>422</v>
      </c>
      <c r="B326" s="43" t="s">
        <v>69</v>
      </c>
      <c r="C326" s="43" t="s">
        <v>52</v>
      </c>
      <c r="D326" s="43" t="s">
        <v>401</v>
      </c>
      <c r="E326" s="74"/>
      <c r="F326" s="94">
        <f>F327</f>
        <v>313.2</v>
      </c>
      <c r="G326" s="94">
        <f>G327</f>
        <v>0</v>
      </c>
      <c r="H326" s="94">
        <f>H327</f>
        <v>0</v>
      </c>
    </row>
    <row r="327" spans="1:8" ht="47.25">
      <c r="A327" s="40" t="s">
        <v>20</v>
      </c>
      <c r="B327" s="43" t="s">
        <v>69</v>
      </c>
      <c r="C327" s="43" t="s">
        <v>52</v>
      </c>
      <c r="D327" s="43" t="s">
        <v>401</v>
      </c>
      <c r="E327" s="74" t="s">
        <v>100</v>
      </c>
      <c r="F327" s="94">
        <v>313.2</v>
      </c>
      <c r="G327" s="45">
        <v>0</v>
      </c>
      <c r="H327" s="45">
        <v>0</v>
      </c>
    </row>
    <row r="328" spans="1:8" ht="80.25" customHeight="1">
      <c r="A328" s="40" t="s">
        <v>844</v>
      </c>
      <c r="B328" s="43" t="s">
        <v>69</v>
      </c>
      <c r="C328" s="43" t="s">
        <v>52</v>
      </c>
      <c r="D328" s="43" t="s">
        <v>536</v>
      </c>
      <c r="E328" s="43"/>
      <c r="F328" s="59">
        <f>F331+F333+F335+F329</f>
        <v>16701.5</v>
      </c>
      <c r="G328" s="59">
        <f>G331+G333+G335</f>
        <v>0</v>
      </c>
      <c r="H328" s="59">
        <f>H331+H333+H335</f>
        <v>0</v>
      </c>
    </row>
    <row r="329" spans="1:8" ht="38.25" customHeight="1">
      <c r="A329" s="40" t="s">
        <v>442</v>
      </c>
      <c r="B329" s="43" t="s">
        <v>69</v>
      </c>
      <c r="C329" s="43" t="s">
        <v>52</v>
      </c>
      <c r="D329" s="43" t="s">
        <v>1001</v>
      </c>
      <c r="E329" s="43"/>
      <c r="F329" s="59">
        <f>F330</f>
        <v>7014.7</v>
      </c>
      <c r="G329" s="59"/>
      <c r="H329" s="59"/>
    </row>
    <row r="330" spans="1:8" ht="15.75">
      <c r="A330" s="40" t="s">
        <v>420</v>
      </c>
      <c r="B330" s="43" t="s">
        <v>69</v>
      </c>
      <c r="C330" s="43" t="s">
        <v>52</v>
      </c>
      <c r="D330" s="43" t="s">
        <v>1001</v>
      </c>
      <c r="E330" s="43" t="s">
        <v>419</v>
      </c>
      <c r="F330" s="59">
        <v>7014.7</v>
      </c>
      <c r="G330" s="59"/>
      <c r="H330" s="59"/>
    </row>
    <row r="331" spans="1:8" ht="31.5">
      <c r="A331" s="40" t="s">
        <v>421</v>
      </c>
      <c r="B331" s="43" t="s">
        <v>69</v>
      </c>
      <c r="C331" s="43" t="s">
        <v>52</v>
      </c>
      <c r="D331" s="43" t="s">
        <v>845</v>
      </c>
      <c r="E331" s="74"/>
      <c r="F331" s="94">
        <f>F332</f>
        <v>950</v>
      </c>
      <c r="G331" s="94"/>
      <c r="H331" s="94"/>
    </row>
    <row r="332" spans="1:8" ht="47.25">
      <c r="A332" s="40" t="s">
        <v>20</v>
      </c>
      <c r="B332" s="43" t="s">
        <v>69</v>
      </c>
      <c r="C332" s="43" t="s">
        <v>52</v>
      </c>
      <c r="D332" s="43" t="s">
        <v>845</v>
      </c>
      <c r="E332" s="74" t="s">
        <v>100</v>
      </c>
      <c r="F332" s="94">
        <v>950</v>
      </c>
      <c r="G332" s="94"/>
      <c r="H332" s="94"/>
    </row>
    <row r="333" spans="1:8" ht="47.25">
      <c r="A333" s="40" t="s">
        <v>422</v>
      </c>
      <c r="B333" s="43" t="s">
        <v>69</v>
      </c>
      <c r="C333" s="43" t="s">
        <v>52</v>
      </c>
      <c r="D333" s="43" t="s">
        <v>846</v>
      </c>
      <c r="E333" s="74"/>
      <c r="F333" s="94">
        <f>F334</f>
        <v>50</v>
      </c>
      <c r="G333" s="94"/>
      <c r="H333" s="94"/>
    </row>
    <row r="334" spans="1:8" ht="47.25">
      <c r="A334" s="40" t="s">
        <v>20</v>
      </c>
      <c r="B334" s="43" t="s">
        <v>69</v>
      </c>
      <c r="C334" s="43" t="s">
        <v>52</v>
      </c>
      <c r="D334" s="43" t="s">
        <v>846</v>
      </c>
      <c r="E334" s="74" t="s">
        <v>100</v>
      </c>
      <c r="F334" s="94">
        <f>50</f>
        <v>50</v>
      </c>
      <c r="G334" s="94"/>
      <c r="H334" s="94"/>
    </row>
    <row r="335" spans="1:8" ht="47.25">
      <c r="A335" s="40" t="s">
        <v>504</v>
      </c>
      <c r="B335" s="43" t="s">
        <v>69</v>
      </c>
      <c r="C335" s="43" t="s">
        <v>52</v>
      </c>
      <c r="D335" s="43" t="s">
        <v>537</v>
      </c>
      <c r="E335" s="43"/>
      <c r="F335" s="94">
        <f>F336</f>
        <v>8686.8</v>
      </c>
      <c r="G335" s="45">
        <f>G336</f>
        <v>0</v>
      </c>
      <c r="H335" s="45">
        <f>H336</f>
        <v>0</v>
      </c>
    </row>
    <row r="336" spans="1:8" ht="15.75">
      <c r="A336" s="40" t="s">
        <v>420</v>
      </c>
      <c r="B336" s="43" t="s">
        <v>69</v>
      </c>
      <c r="C336" s="43" t="s">
        <v>52</v>
      </c>
      <c r="D336" s="43" t="s">
        <v>537</v>
      </c>
      <c r="E336" s="43" t="s">
        <v>419</v>
      </c>
      <c r="F336" s="94">
        <f>8599.9+86.9</f>
        <v>8686.8</v>
      </c>
      <c r="G336" s="45">
        <v>0</v>
      </c>
      <c r="H336" s="45">
        <v>0</v>
      </c>
    </row>
    <row r="337" spans="1:8" ht="31.5">
      <c r="A337" s="40" t="s">
        <v>459</v>
      </c>
      <c r="B337" s="43" t="s">
        <v>69</v>
      </c>
      <c r="C337" s="43" t="s">
        <v>52</v>
      </c>
      <c r="D337" s="43" t="s">
        <v>460</v>
      </c>
      <c r="E337" s="43"/>
      <c r="F337" s="94">
        <f aca="true" t="shared" si="44" ref="F337:H338">F338</f>
        <v>450</v>
      </c>
      <c r="G337" s="94">
        <f t="shared" si="44"/>
        <v>200</v>
      </c>
      <c r="H337" s="94">
        <f t="shared" si="44"/>
        <v>200</v>
      </c>
    </row>
    <row r="338" spans="1:8" ht="31.5">
      <c r="A338" s="40" t="s">
        <v>442</v>
      </c>
      <c r="B338" s="43" t="s">
        <v>69</v>
      </c>
      <c r="C338" s="43" t="s">
        <v>52</v>
      </c>
      <c r="D338" s="43" t="s">
        <v>461</v>
      </c>
      <c r="E338" s="43"/>
      <c r="F338" s="94">
        <f t="shared" si="44"/>
        <v>450</v>
      </c>
      <c r="G338" s="94">
        <f t="shared" si="44"/>
        <v>200</v>
      </c>
      <c r="H338" s="94">
        <f t="shared" si="44"/>
        <v>200</v>
      </c>
    </row>
    <row r="339" spans="1:8" ht="47.25">
      <c r="A339" s="40" t="s">
        <v>20</v>
      </c>
      <c r="B339" s="43" t="s">
        <v>69</v>
      </c>
      <c r="C339" s="43" t="s">
        <v>52</v>
      </c>
      <c r="D339" s="43" t="s">
        <v>461</v>
      </c>
      <c r="E339" s="43" t="s">
        <v>100</v>
      </c>
      <c r="F339" s="94">
        <v>450</v>
      </c>
      <c r="G339" s="94">
        <v>200</v>
      </c>
      <c r="H339" s="94">
        <v>200</v>
      </c>
    </row>
    <row r="340" spans="1:8" ht="110.25">
      <c r="A340" s="40" t="s">
        <v>538</v>
      </c>
      <c r="B340" s="43" t="s">
        <v>69</v>
      </c>
      <c r="C340" s="43" t="s">
        <v>52</v>
      </c>
      <c r="D340" s="43" t="s">
        <v>509</v>
      </c>
      <c r="E340" s="74"/>
      <c r="F340" s="94">
        <f aca="true" t="shared" si="45" ref="F340:H341">F341</f>
        <v>300</v>
      </c>
      <c r="G340" s="94">
        <f t="shared" si="45"/>
        <v>300</v>
      </c>
      <c r="H340" s="94">
        <f t="shared" si="45"/>
        <v>300</v>
      </c>
    </row>
    <row r="341" spans="1:8" ht="31.5">
      <c r="A341" s="40" t="s">
        <v>442</v>
      </c>
      <c r="B341" s="43" t="s">
        <v>69</v>
      </c>
      <c r="C341" s="43" t="s">
        <v>52</v>
      </c>
      <c r="D341" s="43" t="s">
        <v>510</v>
      </c>
      <c r="E341" s="74"/>
      <c r="F341" s="94">
        <f t="shared" si="45"/>
        <v>300</v>
      </c>
      <c r="G341" s="94">
        <f t="shared" si="45"/>
        <v>300</v>
      </c>
      <c r="H341" s="94">
        <f t="shared" si="45"/>
        <v>300</v>
      </c>
    </row>
    <row r="342" spans="1:8" ht="47.25">
      <c r="A342" s="40" t="s">
        <v>20</v>
      </c>
      <c r="B342" s="43" t="s">
        <v>69</v>
      </c>
      <c r="C342" s="43" t="s">
        <v>52</v>
      </c>
      <c r="D342" s="43" t="s">
        <v>510</v>
      </c>
      <c r="E342" s="74" t="s">
        <v>100</v>
      </c>
      <c r="F342" s="94">
        <v>300</v>
      </c>
      <c r="G342" s="94">
        <v>300</v>
      </c>
      <c r="H342" s="94">
        <v>300</v>
      </c>
    </row>
    <row r="343" spans="1:8" ht="63" hidden="1">
      <c r="A343" s="40" t="s">
        <v>597</v>
      </c>
      <c r="B343" s="43" t="s">
        <v>69</v>
      </c>
      <c r="C343" s="43" t="s">
        <v>52</v>
      </c>
      <c r="D343" s="43" t="s">
        <v>599</v>
      </c>
      <c r="E343" s="43"/>
      <c r="F343" s="94">
        <f>F344</f>
        <v>0</v>
      </c>
      <c r="G343" s="94"/>
      <c r="H343" s="94"/>
    </row>
    <row r="344" spans="1:8" ht="47.25" hidden="1">
      <c r="A344" s="40" t="s">
        <v>598</v>
      </c>
      <c r="B344" s="43" t="s">
        <v>69</v>
      </c>
      <c r="C344" s="43" t="s">
        <v>52</v>
      </c>
      <c r="D344" s="43" t="s">
        <v>600</v>
      </c>
      <c r="E344" s="43"/>
      <c r="F344" s="94">
        <f>F345</f>
        <v>0</v>
      </c>
      <c r="G344" s="94"/>
      <c r="H344" s="94"/>
    </row>
    <row r="345" spans="1:8" ht="78.75" hidden="1">
      <c r="A345" s="40" t="s">
        <v>355</v>
      </c>
      <c r="B345" s="43" t="s">
        <v>69</v>
      </c>
      <c r="C345" s="43" t="s">
        <v>52</v>
      </c>
      <c r="D345" s="43" t="s">
        <v>600</v>
      </c>
      <c r="E345" s="43" t="s">
        <v>356</v>
      </c>
      <c r="F345" s="94">
        <v>0</v>
      </c>
      <c r="G345" s="94"/>
      <c r="H345" s="94"/>
    </row>
    <row r="346" spans="1:8" ht="63">
      <c r="A346" s="40" t="s">
        <v>892</v>
      </c>
      <c r="B346" s="43" t="s">
        <v>69</v>
      </c>
      <c r="C346" s="43" t="s">
        <v>52</v>
      </c>
      <c r="D346" s="43" t="s">
        <v>377</v>
      </c>
      <c r="E346" s="74"/>
      <c r="F346" s="45">
        <f>F347+F350+F353</f>
        <v>14569.9</v>
      </c>
      <c r="G346" s="45">
        <f>G347+G350</f>
        <v>3634.1</v>
      </c>
      <c r="H346" s="45">
        <f>H347+H350</f>
        <v>391</v>
      </c>
    </row>
    <row r="347" spans="1:8" ht="78.75">
      <c r="A347" s="40" t="s">
        <v>931</v>
      </c>
      <c r="B347" s="43" t="s">
        <v>69</v>
      </c>
      <c r="C347" s="43" t="s">
        <v>52</v>
      </c>
      <c r="D347" s="43" t="s">
        <v>893</v>
      </c>
      <c r="E347" s="74"/>
      <c r="F347" s="45">
        <f aca="true" t="shared" si="46" ref="F347:H348">F348</f>
        <v>63.20000000000001</v>
      </c>
      <c r="G347" s="45">
        <f t="shared" si="46"/>
        <v>1634.1</v>
      </c>
      <c r="H347" s="45">
        <f t="shared" si="46"/>
        <v>20</v>
      </c>
    </row>
    <row r="348" spans="1:8" ht="15.75">
      <c r="A348" s="40" t="s">
        <v>378</v>
      </c>
      <c r="B348" s="43" t="s">
        <v>69</v>
      </c>
      <c r="C348" s="43" t="s">
        <v>52</v>
      </c>
      <c r="D348" s="43" t="s">
        <v>896</v>
      </c>
      <c r="E348" s="74"/>
      <c r="F348" s="45">
        <f>F349</f>
        <v>63.20000000000001</v>
      </c>
      <c r="G348" s="45">
        <f t="shared" si="46"/>
        <v>1634.1</v>
      </c>
      <c r="H348" s="45">
        <f t="shared" si="46"/>
        <v>20</v>
      </c>
    </row>
    <row r="349" spans="1:8" ht="47.25">
      <c r="A349" s="40" t="s">
        <v>20</v>
      </c>
      <c r="B349" s="43" t="s">
        <v>69</v>
      </c>
      <c r="C349" s="43" t="s">
        <v>52</v>
      </c>
      <c r="D349" s="43" t="s">
        <v>896</v>
      </c>
      <c r="E349" s="74" t="s">
        <v>100</v>
      </c>
      <c r="F349" s="94">
        <v>63.20000000000001</v>
      </c>
      <c r="G349" s="94">
        <f>220+714.1+700</f>
        <v>1634.1</v>
      </c>
      <c r="H349" s="94">
        <f>220-200</f>
        <v>20</v>
      </c>
    </row>
    <row r="350" spans="1:8" ht="31.5">
      <c r="A350" s="40" t="s">
        <v>928</v>
      </c>
      <c r="B350" s="43" t="s">
        <v>69</v>
      </c>
      <c r="C350" s="43" t="s">
        <v>52</v>
      </c>
      <c r="D350" s="43" t="s">
        <v>927</v>
      </c>
      <c r="E350" s="74"/>
      <c r="F350" s="45">
        <f aca="true" t="shared" si="47" ref="F350:H351">F351</f>
        <v>1107.6</v>
      </c>
      <c r="G350" s="45">
        <f t="shared" si="47"/>
        <v>2000</v>
      </c>
      <c r="H350" s="45">
        <f t="shared" si="47"/>
        <v>371</v>
      </c>
    </row>
    <row r="351" spans="1:8" ht="31.5">
      <c r="A351" s="40" t="s">
        <v>929</v>
      </c>
      <c r="B351" s="43" t="s">
        <v>69</v>
      </c>
      <c r="C351" s="43" t="s">
        <v>52</v>
      </c>
      <c r="D351" s="43" t="s">
        <v>930</v>
      </c>
      <c r="E351" s="74"/>
      <c r="F351" s="45">
        <f>F352</f>
        <v>1107.6</v>
      </c>
      <c r="G351" s="45">
        <f t="shared" si="47"/>
        <v>2000</v>
      </c>
      <c r="H351" s="45">
        <f t="shared" si="47"/>
        <v>371</v>
      </c>
    </row>
    <row r="352" spans="1:8" ht="47.25">
      <c r="A352" s="40" t="s">
        <v>20</v>
      </c>
      <c r="B352" s="43" t="s">
        <v>69</v>
      </c>
      <c r="C352" s="43" t="s">
        <v>52</v>
      </c>
      <c r="D352" s="43" t="s">
        <v>930</v>
      </c>
      <c r="E352" s="74" t="s">
        <v>100</v>
      </c>
      <c r="F352" s="94">
        <v>1107.6</v>
      </c>
      <c r="G352" s="94">
        <f>1500+500</f>
        <v>2000</v>
      </c>
      <c r="H352" s="94">
        <f>1500-500-629</f>
        <v>371</v>
      </c>
    </row>
    <row r="353" spans="1:8" ht="47.25">
      <c r="A353" s="40" t="s">
        <v>1020</v>
      </c>
      <c r="B353" s="43" t="s">
        <v>69</v>
      </c>
      <c r="C353" s="43" t="s">
        <v>52</v>
      </c>
      <c r="D353" s="43" t="s">
        <v>1022</v>
      </c>
      <c r="E353" s="74"/>
      <c r="F353" s="94">
        <f>F354</f>
        <v>13399.1</v>
      </c>
      <c r="G353" s="94"/>
      <c r="H353" s="94"/>
    </row>
    <row r="354" spans="1:8" ht="47.25">
      <c r="A354" s="40" t="s">
        <v>1021</v>
      </c>
      <c r="B354" s="43" t="s">
        <v>69</v>
      </c>
      <c r="C354" s="43" t="s">
        <v>52</v>
      </c>
      <c r="D354" s="43" t="s">
        <v>1023</v>
      </c>
      <c r="E354" s="74"/>
      <c r="F354" s="94">
        <f>F355</f>
        <v>13399.1</v>
      </c>
      <c r="G354" s="94"/>
      <c r="H354" s="94"/>
    </row>
    <row r="355" spans="1:8" ht="15.75">
      <c r="A355" s="40" t="s">
        <v>420</v>
      </c>
      <c r="B355" s="43" t="s">
        <v>69</v>
      </c>
      <c r="C355" s="43" t="s">
        <v>52</v>
      </c>
      <c r="D355" s="43" t="s">
        <v>1023</v>
      </c>
      <c r="E355" s="74" t="s">
        <v>419</v>
      </c>
      <c r="F355" s="94">
        <v>13399.1</v>
      </c>
      <c r="G355" s="94"/>
      <c r="H355" s="94"/>
    </row>
    <row r="356" spans="1:8" ht="47.25">
      <c r="A356" s="40" t="s">
        <v>836</v>
      </c>
      <c r="B356" s="43" t="s">
        <v>69</v>
      </c>
      <c r="C356" s="43" t="s">
        <v>52</v>
      </c>
      <c r="D356" s="43" t="s">
        <v>139</v>
      </c>
      <c r="E356" s="43"/>
      <c r="F356" s="59">
        <f>F357+F360</f>
        <v>39361.4</v>
      </c>
      <c r="G356" s="59">
        <f>G357+G360</f>
        <v>16840.600000000002</v>
      </c>
      <c r="H356" s="59">
        <f>H357+H360</f>
        <v>0</v>
      </c>
    </row>
    <row r="357" spans="1:8" ht="47.25">
      <c r="A357" s="40" t="s">
        <v>852</v>
      </c>
      <c r="B357" s="43" t="s">
        <v>69</v>
      </c>
      <c r="C357" s="43" t="s">
        <v>52</v>
      </c>
      <c r="D357" s="44" t="s">
        <v>853</v>
      </c>
      <c r="E357" s="44"/>
      <c r="F357" s="59">
        <f aca="true" t="shared" si="48" ref="F357:H358">F358</f>
        <v>2200</v>
      </c>
      <c r="G357" s="59">
        <f t="shared" si="48"/>
        <v>0</v>
      </c>
      <c r="H357" s="59">
        <f t="shared" si="48"/>
        <v>0</v>
      </c>
    </row>
    <row r="358" spans="1:8" ht="31.5">
      <c r="A358" s="40" t="s">
        <v>854</v>
      </c>
      <c r="B358" s="43" t="s">
        <v>69</v>
      </c>
      <c r="C358" s="43" t="s">
        <v>52</v>
      </c>
      <c r="D358" s="44" t="s">
        <v>855</v>
      </c>
      <c r="E358" s="44"/>
      <c r="F358" s="59">
        <f t="shared" si="48"/>
        <v>2200</v>
      </c>
      <c r="G358" s="59">
        <f t="shared" si="48"/>
        <v>0</v>
      </c>
      <c r="H358" s="59">
        <f t="shared" si="48"/>
        <v>0</v>
      </c>
    </row>
    <row r="359" spans="1:8" ht="15.75">
      <c r="A359" s="40" t="s">
        <v>420</v>
      </c>
      <c r="B359" s="43" t="s">
        <v>69</v>
      </c>
      <c r="C359" s="43" t="s">
        <v>52</v>
      </c>
      <c r="D359" s="44" t="s">
        <v>855</v>
      </c>
      <c r="E359" s="44" t="s">
        <v>419</v>
      </c>
      <c r="F359" s="59">
        <v>2200</v>
      </c>
      <c r="G359" s="59">
        <v>0</v>
      </c>
      <c r="H359" s="59">
        <v>0</v>
      </c>
    </row>
    <row r="360" spans="1:8" ht="31.5">
      <c r="A360" s="168" t="s">
        <v>529</v>
      </c>
      <c r="B360" s="43" t="s">
        <v>69</v>
      </c>
      <c r="C360" s="43" t="s">
        <v>52</v>
      </c>
      <c r="D360" s="169" t="s">
        <v>530</v>
      </c>
      <c r="E360" s="151"/>
      <c r="F360" s="148">
        <f aca="true" t="shared" si="49" ref="F360:H361">F361</f>
        <v>37161.4</v>
      </c>
      <c r="G360" s="148">
        <f t="shared" si="49"/>
        <v>16840.600000000002</v>
      </c>
      <c r="H360" s="94">
        <f t="shared" si="49"/>
        <v>0</v>
      </c>
    </row>
    <row r="361" spans="1:8" ht="63">
      <c r="A361" s="170" t="s">
        <v>532</v>
      </c>
      <c r="B361" s="43" t="s">
        <v>69</v>
      </c>
      <c r="C361" s="43" t="s">
        <v>52</v>
      </c>
      <c r="D361" s="44" t="s">
        <v>531</v>
      </c>
      <c r="E361" s="74"/>
      <c r="F361" s="94">
        <f t="shared" si="49"/>
        <v>37161.4</v>
      </c>
      <c r="G361" s="94">
        <f t="shared" si="49"/>
        <v>16840.600000000002</v>
      </c>
      <c r="H361" s="94">
        <f t="shared" si="49"/>
        <v>0</v>
      </c>
    </row>
    <row r="362" spans="1:8" ht="15.75">
      <c r="A362" s="40" t="s">
        <v>420</v>
      </c>
      <c r="B362" s="43" t="s">
        <v>69</v>
      </c>
      <c r="C362" s="43" t="s">
        <v>52</v>
      </c>
      <c r="D362" s="44" t="s">
        <v>531</v>
      </c>
      <c r="E362" s="74" t="s">
        <v>419</v>
      </c>
      <c r="F362" s="94">
        <f>539.6+36621.8</f>
        <v>37161.4</v>
      </c>
      <c r="G362" s="45">
        <f>16672.2+168.4</f>
        <v>16840.600000000002</v>
      </c>
      <c r="H362" s="45">
        <v>0</v>
      </c>
    </row>
    <row r="363" spans="1:8" ht="15.75">
      <c r="A363" s="40" t="s">
        <v>214</v>
      </c>
      <c r="B363" s="43" t="s">
        <v>69</v>
      </c>
      <c r="C363" s="43" t="s">
        <v>52</v>
      </c>
      <c r="D363" s="43" t="s">
        <v>372</v>
      </c>
      <c r="E363" s="43"/>
      <c r="F363" s="59">
        <f aca="true" t="shared" si="50" ref="F363:H364">F364</f>
        <v>136</v>
      </c>
      <c r="G363" s="45">
        <f t="shared" si="50"/>
        <v>0</v>
      </c>
      <c r="H363" s="45">
        <f t="shared" si="50"/>
        <v>0</v>
      </c>
    </row>
    <row r="364" spans="1:8" ht="15.75">
      <c r="A364" s="40" t="s">
        <v>215</v>
      </c>
      <c r="B364" s="43" t="s">
        <v>69</v>
      </c>
      <c r="C364" s="43" t="s">
        <v>52</v>
      </c>
      <c r="D364" s="43" t="s">
        <v>373</v>
      </c>
      <c r="E364" s="43"/>
      <c r="F364" s="59">
        <f t="shared" si="50"/>
        <v>136</v>
      </c>
      <c r="G364" s="45">
        <f t="shared" si="50"/>
        <v>0</v>
      </c>
      <c r="H364" s="45">
        <f t="shared" si="50"/>
        <v>0</v>
      </c>
    </row>
    <row r="365" spans="1:8" ht="47.25">
      <c r="A365" s="40" t="s">
        <v>20</v>
      </c>
      <c r="B365" s="43" t="s">
        <v>69</v>
      </c>
      <c r="C365" s="43" t="s">
        <v>52</v>
      </c>
      <c r="D365" s="43" t="s">
        <v>373</v>
      </c>
      <c r="E365" s="43" t="s">
        <v>100</v>
      </c>
      <c r="F365" s="59">
        <v>136</v>
      </c>
      <c r="G365" s="59">
        <v>0</v>
      </c>
      <c r="H365" s="59">
        <v>0</v>
      </c>
    </row>
    <row r="366" spans="1:8" ht="15.75">
      <c r="A366" s="40" t="s">
        <v>397</v>
      </c>
      <c r="B366" s="43" t="s">
        <v>69</v>
      </c>
      <c r="C366" s="43" t="s">
        <v>54</v>
      </c>
      <c r="D366" s="43"/>
      <c r="E366" s="43"/>
      <c r="F366" s="59">
        <f>F408+F375+F379+F367</f>
        <v>26339.3</v>
      </c>
      <c r="G366" s="59">
        <f>G408+G375+G379+G367</f>
        <v>13144.9</v>
      </c>
      <c r="H366" s="59">
        <f>H408+H375+H379+H367</f>
        <v>10986</v>
      </c>
    </row>
    <row r="367" spans="1:8" ht="63">
      <c r="A367" s="25" t="s">
        <v>892</v>
      </c>
      <c r="B367" s="43" t="s">
        <v>69</v>
      </c>
      <c r="C367" s="43" t="s">
        <v>54</v>
      </c>
      <c r="D367" s="43" t="s">
        <v>377</v>
      </c>
      <c r="E367" s="74"/>
      <c r="F367" s="59">
        <f>F368</f>
        <v>10973.599999999999</v>
      </c>
      <c r="G367" s="59">
        <f>G368</f>
        <v>8448</v>
      </c>
      <c r="H367" s="59">
        <f>H368</f>
        <v>8448</v>
      </c>
    </row>
    <row r="368" spans="1:8" ht="47.25">
      <c r="A368" s="182" t="s">
        <v>1018</v>
      </c>
      <c r="B368" s="43" t="s">
        <v>69</v>
      </c>
      <c r="C368" s="43" t="s">
        <v>54</v>
      </c>
      <c r="D368" s="43" t="s">
        <v>897</v>
      </c>
      <c r="E368" s="74"/>
      <c r="F368" s="45">
        <f>F372+F369</f>
        <v>10973.599999999999</v>
      </c>
      <c r="G368" s="45">
        <f>G372</f>
        <v>8448</v>
      </c>
      <c r="H368" s="45">
        <f>H372</f>
        <v>8448</v>
      </c>
    </row>
    <row r="369" spans="1:8" ht="31.5">
      <c r="A369" s="55" t="s">
        <v>1024</v>
      </c>
      <c r="B369" s="155" t="s">
        <v>69</v>
      </c>
      <c r="C369" s="155" t="s">
        <v>54</v>
      </c>
      <c r="D369" s="43" t="s">
        <v>1017</v>
      </c>
      <c r="E369" s="43"/>
      <c r="F369" s="45">
        <f>F370+F371</f>
        <v>1806</v>
      </c>
      <c r="G369" s="45"/>
      <c r="H369" s="45"/>
    </row>
    <row r="370" spans="1:8" ht="47.25">
      <c r="A370" s="40" t="s">
        <v>20</v>
      </c>
      <c r="B370" s="155" t="s">
        <v>69</v>
      </c>
      <c r="C370" s="155" t="s">
        <v>54</v>
      </c>
      <c r="D370" s="43" t="s">
        <v>1017</v>
      </c>
      <c r="E370" s="43" t="s">
        <v>100</v>
      </c>
      <c r="F370" s="45">
        <v>706.7</v>
      </c>
      <c r="G370" s="45"/>
      <c r="H370" s="45"/>
    </row>
    <row r="371" spans="1:8" ht="15.75">
      <c r="A371" s="40" t="s">
        <v>420</v>
      </c>
      <c r="B371" s="155" t="s">
        <v>69</v>
      </c>
      <c r="C371" s="155" t="s">
        <v>54</v>
      </c>
      <c r="D371" s="43" t="s">
        <v>1017</v>
      </c>
      <c r="E371" s="74" t="s">
        <v>419</v>
      </c>
      <c r="F371" s="45">
        <v>1099.3</v>
      </c>
      <c r="G371" s="45"/>
      <c r="H371" s="45"/>
    </row>
    <row r="372" spans="1:8" ht="15.75">
      <c r="A372" s="40" t="s">
        <v>894</v>
      </c>
      <c r="B372" s="43" t="s">
        <v>69</v>
      </c>
      <c r="C372" s="43" t="s">
        <v>54</v>
      </c>
      <c r="D372" s="43" t="s">
        <v>898</v>
      </c>
      <c r="E372" s="74"/>
      <c r="F372" s="45">
        <f>F373+F374</f>
        <v>9167.599999999999</v>
      </c>
      <c r="G372" s="45">
        <f>G373</f>
        <v>8448</v>
      </c>
      <c r="H372" s="45">
        <f>H373</f>
        <v>8448</v>
      </c>
    </row>
    <row r="373" spans="1:8" ht="47.25">
      <c r="A373" s="40" t="s">
        <v>20</v>
      </c>
      <c r="B373" s="43" t="s">
        <v>69</v>
      </c>
      <c r="C373" s="43" t="s">
        <v>54</v>
      </c>
      <c r="D373" s="43" t="s">
        <v>898</v>
      </c>
      <c r="E373" s="74" t="s">
        <v>100</v>
      </c>
      <c r="F373" s="94">
        <f>6336+2112+479.5+239.8</f>
        <v>9167.3</v>
      </c>
      <c r="G373" s="94">
        <f>6336+2112</f>
        <v>8448</v>
      </c>
      <c r="H373" s="94">
        <f>6336+2112</f>
        <v>8448</v>
      </c>
    </row>
    <row r="374" spans="1:8" ht="15.75">
      <c r="A374" s="40" t="s">
        <v>21</v>
      </c>
      <c r="B374" s="43" t="s">
        <v>69</v>
      </c>
      <c r="C374" s="43" t="s">
        <v>54</v>
      </c>
      <c r="D374" s="43" t="s">
        <v>898</v>
      </c>
      <c r="E374" s="74" t="s">
        <v>101</v>
      </c>
      <c r="F374" s="94">
        <v>0.3</v>
      </c>
      <c r="G374" s="94"/>
      <c r="H374" s="94"/>
    </row>
    <row r="375" spans="1:8" ht="47.25">
      <c r="A375" s="40" t="s">
        <v>836</v>
      </c>
      <c r="B375" s="43" t="s">
        <v>69</v>
      </c>
      <c r="C375" s="43" t="s">
        <v>54</v>
      </c>
      <c r="D375" s="43" t="s">
        <v>139</v>
      </c>
      <c r="E375" s="74"/>
      <c r="F375" s="94">
        <f aca="true" t="shared" si="51" ref="F375:H376">F376</f>
        <v>764</v>
      </c>
      <c r="G375" s="94">
        <f t="shared" si="51"/>
        <v>0</v>
      </c>
      <c r="H375" s="94">
        <f t="shared" si="51"/>
        <v>0</v>
      </c>
    </row>
    <row r="376" spans="1:8" ht="47.25">
      <c r="A376" s="40" t="s">
        <v>849</v>
      </c>
      <c r="B376" s="43" t="s">
        <v>69</v>
      </c>
      <c r="C376" s="43" t="s">
        <v>54</v>
      </c>
      <c r="D376" s="43" t="s">
        <v>850</v>
      </c>
      <c r="E376" s="74"/>
      <c r="F376" s="45">
        <f t="shared" si="51"/>
        <v>764</v>
      </c>
      <c r="G376" s="45">
        <f t="shared" si="51"/>
        <v>0</v>
      </c>
      <c r="H376" s="45">
        <f t="shared" si="51"/>
        <v>0</v>
      </c>
    </row>
    <row r="377" spans="1:8" ht="47.25">
      <c r="A377" s="40" t="s">
        <v>990</v>
      </c>
      <c r="B377" s="43" t="s">
        <v>69</v>
      </c>
      <c r="C377" s="43" t="s">
        <v>54</v>
      </c>
      <c r="D377" s="43" t="s">
        <v>851</v>
      </c>
      <c r="E377" s="74"/>
      <c r="F377" s="45">
        <f>F378</f>
        <v>764</v>
      </c>
      <c r="G377" s="45"/>
      <c r="H377" s="45"/>
    </row>
    <row r="378" spans="1:8" ht="47.25">
      <c r="A378" s="40" t="s">
        <v>20</v>
      </c>
      <c r="B378" s="43" t="s">
        <v>69</v>
      </c>
      <c r="C378" s="43" t="s">
        <v>54</v>
      </c>
      <c r="D378" s="43" t="s">
        <v>851</v>
      </c>
      <c r="E378" s="74" t="s">
        <v>100</v>
      </c>
      <c r="F378" s="45">
        <f>756.4+7.6</f>
        <v>764</v>
      </c>
      <c r="G378" s="45"/>
      <c r="H378" s="45"/>
    </row>
    <row r="379" spans="1:8" ht="47.25">
      <c r="A379" s="37" t="s">
        <v>856</v>
      </c>
      <c r="B379" s="43" t="s">
        <v>69</v>
      </c>
      <c r="C379" s="43" t="s">
        <v>54</v>
      </c>
      <c r="D379" s="43" t="s">
        <v>169</v>
      </c>
      <c r="E379" s="74"/>
      <c r="F379" s="45">
        <f>F380+F383+F386+F389+F392+F395+F400+F403</f>
        <v>10170.9</v>
      </c>
      <c r="G379" s="45">
        <f>G380+G383+G386+G389+G392+G395+G400+G403</f>
        <v>2538</v>
      </c>
      <c r="H379" s="45">
        <f>H380+H383+H386+H389+H392+H395+H400+H403</f>
        <v>2538</v>
      </c>
    </row>
    <row r="380" spans="1:8" ht="31.5">
      <c r="A380" s="37" t="s">
        <v>857</v>
      </c>
      <c r="B380" s="43" t="s">
        <v>69</v>
      </c>
      <c r="C380" s="43" t="s">
        <v>54</v>
      </c>
      <c r="D380" s="43" t="s">
        <v>858</v>
      </c>
      <c r="E380" s="74"/>
      <c r="F380" s="45">
        <f aca="true" t="shared" si="52" ref="F380:H381">F381</f>
        <v>960.5</v>
      </c>
      <c r="G380" s="45">
        <f t="shared" si="52"/>
        <v>1230</v>
      </c>
      <c r="H380" s="45">
        <f t="shared" si="52"/>
        <v>1230</v>
      </c>
    </row>
    <row r="381" spans="1:8" ht="31.5">
      <c r="A381" s="40" t="s">
        <v>784</v>
      </c>
      <c r="B381" s="43" t="s">
        <v>69</v>
      </c>
      <c r="C381" s="43" t="s">
        <v>54</v>
      </c>
      <c r="D381" s="43" t="s">
        <v>859</v>
      </c>
      <c r="E381" s="74"/>
      <c r="F381" s="45">
        <f t="shared" si="52"/>
        <v>960.5</v>
      </c>
      <c r="G381" s="45">
        <f t="shared" si="52"/>
        <v>1230</v>
      </c>
      <c r="H381" s="45">
        <f t="shared" si="52"/>
        <v>1230</v>
      </c>
    </row>
    <row r="382" spans="1:8" ht="47.25">
      <c r="A382" s="40" t="s">
        <v>20</v>
      </c>
      <c r="B382" s="43" t="s">
        <v>69</v>
      </c>
      <c r="C382" s="43" t="s">
        <v>54</v>
      </c>
      <c r="D382" s="43" t="s">
        <v>859</v>
      </c>
      <c r="E382" s="74" t="s">
        <v>100</v>
      </c>
      <c r="F382" s="45">
        <f>815+145.5</f>
        <v>960.5</v>
      </c>
      <c r="G382" s="45">
        <v>1230</v>
      </c>
      <c r="H382" s="45">
        <v>1230</v>
      </c>
    </row>
    <row r="383" spans="1:8" ht="78.75">
      <c r="A383" s="37" t="s">
        <v>860</v>
      </c>
      <c r="B383" s="43" t="s">
        <v>69</v>
      </c>
      <c r="C383" s="43" t="s">
        <v>54</v>
      </c>
      <c r="D383" s="43" t="s">
        <v>861</v>
      </c>
      <c r="E383" s="74"/>
      <c r="F383" s="45">
        <f aca="true" t="shared" si="53" ref="F383:H384">F384</f>
        <v>60</v>
      </c>
      <c r="G383" s="45">
        <f t="shared" si="53"/>
        <v>60</v>
      </c>
      <c r="H383" s="45">
        <f t="shared" si="53"/>
        <v>60</v>
      </c>
    </row>
    <row r="384" spans="1:8" ht="31.5">
      <c r="A384" s="40" t="s">
        <v>784</v>
      </c>
      <c r="B384" s="43" t="s">
        <v>69</v>
      </c>
      <c r="C384" s="43" t="s">
        <v>54</v>
      </c>
      <c r="D384" s="43" t="s">
        <v>862</v>
      </c>
      <c r="E384" s="74"/>
      <c r="F384" s="45">
        <f t="shared" si="53"/>
        <v>60</v>
      </c>
      <c r="G384" s="45">
        <f t="shared" si="53"/>
        <v>60</v>
      </c>
      <c r="H384" s="45">
        <f t="shared" si="53"/>
        <v>60</v>
      </c>
    </row>
    <row r="385" spans="1:8" ht="47.25">
      <c r="A385" s="40" t="s">
        <v>20</v>
      </c>
      <c r="B385" s="43" t="s">
        <v>69</v>
      </c>
      <c r="C385" s="43" t="s">
        <v>54</v>
      </c>
      <c r="D385" s="43" t="s">
        <v>862</v>
      </c>
      <c r="E385" s="74" t="s">
        <v>100</v>
      </c>
      <c r="F385" s="45">
        <v>60</v>
      </c>
      <c r="G385" s="45">
        <v>60</v>
      </c>
      <c r="H385" s="45">
        <v>60</v>
      </c>
    </row>
    <row r="386" spans="1:8" ht="31.5">
      <c r="A386" s="37" t="s">
        <v>863</v>
      </c>
      <c r="B386" s="43" t="s">
        <v>69</v>
      </c>
      <c r="C386" s="43" t="s">
        <v>54</v>
      </c>
      <c r="D386" s="43" t="s">
        <v>864</v>
      </c>
      <c r="E386" s="74"/>
      <c r="F386" s="45">
        <f aca="true" t="shared" si="54" ref="F386:H387">F387</f>
        <v>100</v>
      </c>
      <c r="G386" s="45">
        <f t="shared" si="54"/>
        <v>100</v>
      </c>
      <c r="H386" s="45">
        <f t="shared" si="54"/>
        <v>100</v>
      </c>
    </row>
    <row r="387" spans="1:8" ht="31.5">
      <c r="A387" s="40" t="s">
        <v>784</v>
      </c>
      <c r="B387" s="43" t="s">
        <v>69</v>
      </c>
      <c r="C387" s="43" t="s">
        <v>54</v>
      </c>
      <c r="D387" s="43" t="s">
        <v>865</v>
      </c>
      <c r="E387" s="74"/>
      <c r="F387" s="45">
        <f t="shared" si="54"/>
        <v>100</v>
      </c>
      <c r="G387" s="45">
        <f t="shared" si="54"/>
        <v>100</v>
      </c>
      <c r="H387" s="45">
        <f t="shared" si="54"/>
        <v>100</v>
      </c>
    </row>
    <row r="388" spans="1:8" ht="47.25">
      <c r="A388" s="40" t="s">
        <v>20</v>
      </c>
      <c r="B388" s="43" t="s">
        <v>69</v>
      </c>
      <c r="C388" s="43" t="s">
        <v>54</v>
      </c>
      <c r="D388" s="43" t="s">
        <v>865</v>
      </c>
      <c r="E388" s="74" t="s">
        <v>100</v>
      </c>
      <c r="F388" s="45">
        <v>100</v>
      </c>
      <c r="G388" s="45">
        <v>100</v>
      </c>
      <c r="H388" s="45">
        <v>100</v>
      </c>
    </row>
    <row r="389" spans="1:8" ht="47.25" hidden="1">
      <c r="A389" s="37" t="s">
        <v>866</v>
      </c>
      <c r="B389" s="43" t="s">
        <v>69</v>
      </c>
      <c r="C389" s="43" t="s">
        <v>54</v>
      </c>
      <c r="D389" s="43" t="s">
        <v>885</v>
      </c>
      <c r="E389" s="43"/>
      <c r="F389" s="45">
        <f aca="true" t="shared" si="55" ref="F389:H390">F390</f>
        <v>0</v>
      </c>
      <c r="G389" s="45">
        <f t="shared" si="55"/>
        <v>0</v>
      </c>
      <c r="H389" s="45">
        <f t="shared" si="55"/>
        <v>0</v>
      </c>
    </row>
    <row r="390" spans="1:8" ht="31.5" hidden="1">
      <c r="A390" s="40" t="s">
        <v>784</v>
      </c>
      <c r="B390" s="43" t="s">
        <v>69</v>
      </c>
      <c r="C390" s="43" t="s">
        <v>54</v>
      </c>
      <c r="D390" s="43" t="s">
        <v>867</v>
      </c>
      <c r="E390" s="74"/>
      <c r="F390" s="45">
        <f t="shared" si="55"/>
        <v>0</v>
      </c>
      <c r="G390" s="45">
        <f t="shared" si="55"/>
        <v>0</v>
      </c>
      <c r="H390" s="45">
        <f t="shared" si="55"/>
        <v>0</v>
      </c>
    </row>
    <row r="391" spans="1:8" ht="47.25" hidden="1">
      <c r="A391" s="40" t="s">
        <v>20</v>
      </c>
      <c r="B391" s="43" t="s">
        <v>69</v>
      </c>
      <c r="C391" s="43" t="s">
        <v>54</v>
      </c>
      <c r="D391" s="43" t="s">
        <v>867</v>
      </c>
      <c r="E391" s="74" t="s">
        <v>100</v>
      </c>
      <c r="F391" s="45">
        <v>0</v>
      </c>
      <c r="G391" s="45">
        <v>0</v>
      </c>
      <c r="H391" s="45">
        <v>0</v>
      </c>
    </row>
    <row r="392" spans="1:8" ht="31.5">
      <c r="A392" s="37" t="s">
        <v>868</v>
      </c>
      <c r="B392" s="43" t="s">
        <v>69</v>
      </c>
      <c r="C392" s="43" t="s">
        <v>54</v>
      </c>
      <c r="D392" s="43" t="s">
        <v>886</v>
      </c>
      <c r="E392" s="43"/>
      <c r="F392" s="45">
        <f aca="true" t="shared" si="56" ref="F392:H393">F393</f>
        <v>257</v>
      </c>
      <c r="G392" s="45">
        <f t="shared" si="56"/>
        <v>257</v>
      </c>
      <c r="H392" s="45">
        <f t="shared" si="56"/>
        <v>257</v>
      </c>
    </row>
    <row r="393" spans="1:8" ht="31.5">
      <c r="A393" s="40" t="s">
        <v>869</v>
      </c>
      <c r="B393" s="43" t="s">
        <v>69</v>
      </c>
      <c r="C393" s="43" t="s">
        <v>54</v>
      </c>
      <c r="D393" s="43" t="s">
        <v>870</v>
      </c>
      <c r="E393" s="74"/>
      <c r="F393" s="45">
        <f t="shared" si="56"/>
        <v>257</v>
      </c>
      <c r="G393" s="45">
        <f t="shared" si="56"/>
        <v>257</v>
      </c>
      <c r="H393" s="45">
        <f t="shared" si="56"/>
        <v>257</v>
      </c>
    </row>
    <row r="394" spans="1:8" ht="47.25">
      <c r="A394" s="40" t="s">
        <v>20</v>
      </c>
      <c r="B394" s="43" t="s">
        <v>69</v>
      </c>
      <c r="C394" s="43" t="s">
        <v>54</v>
      </c>
      <c r="D394" s="43" t="s">
        <v>870</v>
      </c>
      <c r="E394" s="74" t="s">
        <v>100</v>
      </c>
      <c r="F394" s="94">
        <v>257</v>
      </c>
      <c r="G394" s="94">
        <v>257</v>
      </c>
      <c r="H394" s="94">
        <v>257</v>
      </c>
    </row>
    <row r="395" spans="1:8" ht="31.5">
      <c r="A395" s="37" t="s">
        <v>871</v>
      </c>
      <c r="B395" s="43" t="s">
        <v>69</v>
      </c>
      <c r="C395" s="43" t="s">
        <v>54</v>
      </c>
      <c r="D395" s="43" t="s">
        <v>884</v>
      </c>
      <c r="E395" s="43"/>
      <c r="F395" s="94">
        <f>F396+F398</f>
        <v>1350</v>
      </c>
      <c r="G395" s="94">
        <f aca="true" t="shared" si="57" ref="F395:H396">G396</f>
        <v>850</v>
      </c>
      <c r="H395" s="94">
        <f t="shared" si="57"/>
        <v>850</v>
      </c>
    </row>
    <row r="396" spans="1:8" ht="31.5">
      <c r="A396" s="40" t="s">
        <v>784</v>
      </c>
      <c r="B396" s="43" t="s">
        <v>69</v>
      </c>
      <c r="C396" s="43" t="s">
        <v>54</v>
      </c>
      <c r="D396" s="43" t="s">
        <v>872</v>
      </c>
      <c r="E396" s="74"/>
      <c r="F396" s="59">
        <f t="shared" si="57"/>
        <v>500</v>
      </c>
      <c r="G396" s="59">
        <f t="shared" si="57"/>
        <v>850</v>
      </c>
      <c r="H396" s="59">
        <f t="shared" si="57"/>
        <v>850</v>
      </c>
    </row>
    <row r="397" spans="1:8" ht="47.25">
      <c r="A397" s="40" t="s">
        <v>20</v>
      </c>
      <c r="B397" s="43" t="s">
        <v>69</v>
      </c>
      <c r="C397" s="43" t="s">
        <v>54</v>
      </c>
      <c r="D397" s="43" t="s">
        <v>872</v>
      </c>
      <c r="E397" s="74" t="s">
        <v>100</v>
      </c>
      <c r="F397" s="59">
        <f>550+300-350</f>
        <v>500</v>
      </c>
      <c r="G397" s="59">
        <f>550+300</f>
        <v>850</v>
      </c>
      <c r="H397" s="59">
        <f>550+300</f>
        <v>850</v>
      </c>
    </row>
    <row r="398" spans="1:8" ht="15.75">
      <c r="A398" s="40" t="s">
        <v>936</v>
      </c>
      <c r="B398" s="43" t="s">
        <v>69</v>
      </c>
      <c r="C398" s="43" t="s">
        <v>54</v>
      </c>
      <c r="D398" s="43" t="s">
        <v>1016</v>
      </c>
      <c r="E398" s="74"/>
      <c r="F398" s="59">
        <f>F399</f>
        <v>850</v>
      </c>
      <c r="G398" s="59"/>
      <c r="H398" s="59"/>
    </row>
    <row r="399" spans="1:8" ht="15.75">
      <c r="A399" s="125" t="s">
        <v>110</v>
      </c>
      <c r="B399" s="43" t="s">
        <v>69</v>
      </c>
      <c r="C399" s="43" t="s">
        <v>54</v>
      </c>
      <c r="D399" s="43" t="s">
        <v>1016</v>
      </c>
      <c r="E399" s="74" t="s">
        <v>111</v>
      </c>
      <c r="F399" s="59">
        <f>350+500</f>
        <v>850</v>
      </c>
      <c r="G399" s="59"/>
      <c r="H399" s="59"/>
    </row>
    <row r="400" spans="1:8" ht="31.5">
      <c r="A400" s="37" t="s">
        <v>873</v>
      </c>
      <c r="B400" s="43" t="s">
        <v>69</v>
      </c>
      <c r="C400" s="43" t="s">
        <v>54</v>
      </c>
      <c r="D400" s="43" t="s">
        <v>883</v>
      </c>
      <c r="E400" s="43"/>
      <c r="F400" s="59">
        <f aca="true" t="shared" si="58" ref="F400:H401">F401</f>
        <v>11</v>
      </c>
      <c r="G400" s="59">
        <f t="shared" si="58"/>
        <v>41</v>
      </c>
      <c r="H400" s="59">
        <f t="shared" si="58"/>
        <v>41</v>
      </c>
    </row>
    <row r="401" spans="1:8" ht="31.5">
      <c r="A401" s="40" t="s">
        <v>784</v>
      </c>
      <c r="B401" s="43" t="s">
        <v>69</v>
      </c>
      <c r="C401" s="43" t="s">
        <v>54</v>
      </c>
      <c r="D401" s="43" t="s">
        <v>874</v>
      </c>
      <c r="E401" s="74"/>
      <c r="F401" s="94">
        <f t="shared" si="58"/>
        <v>11</v>
      </c>
      <c r="G401" s="94">
        <f t="shared" si="58"/>
        <v>41</v>
      </c>
      <c r="H401" s="94">
        <f t="shared" si="58"/>
        <v>41</v>
      </c>
    </row>
    <row r="402" spans="1:8" ht="47.25">
      <c r="A402" s="40" t="s">
        <v>20</v>
      </c>
      <c r="B402" s="43" t="s">
        <v>69</v>
      </c>
      <c r="C402" s="43" t="s">
        <v>54</v>
      </c>
      <c r="D402" s="43" t="s">
        <v>874</v>
      </c>
      <c r="E402" s="74" t="s">
        <v>100</v>
      </c>
      <c r="F402" s="94">
        <v>11</v>
      </c>
      <c r="G402" s="94">
        <v>41</v>
      </c>
      <c r="H402" s="94">
        <v>41</v>
      </c>
    </row>
    <row r="403" spans="1:8" ht="31.5">
      <c r="A403" s="37" t="s">
        <v>880</v>
      </c>
      <c r="B403" s="43" t="s">
        <v>69</v>
      </c>
      <c r="C403" s="43" t="s">
        <v>54</v>
      </c>
      <c r="D403" s="43" t="s">
        <v>966</v>
      </c>
      <c r="E403" s="43"/>
      <c r="F403" s="59">
        <f>F404+F406</f>
        <v>7432.4</v>
      </c>
      <c r="G403" s="59">
        <f>G404+G406</f>
        <v>0</v>
      </c>
      <c r="H403" s="59">
        <f>H404+H406</f>
        <v>0</v>
      </c>
    </row>
    <row r="404" spans="1:8" ht="31.5">
      <c r="A404" s="40" t="s">
        <v>421</v>
      </c>
      <c r="B404" s="43" t="s">
        <v>69</v>
      </c>
      <c r="C404" s="43" t="s">
        <v>54</v>
      </c>
      <c r="D404" s="43" t="s">
        <v>881</v>
      </c>
      <c r="E404" s="74"/>
      <c r="F404" s="59">
        <f>F405</f>
        <v>6986</v>
      </c>
      <c r="G404" s="59">
        <f>G405</f>
        <v>0</v>
      </c>
      <c r="H404" s="59">
        <f>H405</f>
        <v>0</v>
      </c>
    </row>
    <row r="405" spans="1:8" ht="47.25">
      <c r="A405" s="40" t="s">
        <v>20</v>
      </c>
      <c r="B405" s="43" t="s">
        <v>69</v>
      </c>
      <c r="C405" s="43" t="s">
        <v>54</v>
      </c>
      <c r="D405" s="43" t="s">
        <v>881</v>
      </c>
      <c r="E405" s="74" t="s">
        <v>100</v>
      </c>
      <c r="F405" s="59">
        <f>6321+665</f>
        <v>6986</v>
      </c>
      <c r="G405" s="59">
        <v>0</v>
      </c>
      <c r="H405" s="59">
        <v>0</v>
      </c>
    </row>
    <row r="406" spans="1:8" ht="47.25">
      <c r="A406" s="40" t="s">
        <v>422</v>
      </c>
      <c r="B406" s="43" t="s">
        <v>69</v>
      </c>
      <c r="C406" s="43" t="s">
        <v>54</v>
      </c>
      <c r="D406" s="43" t="s">
        <v>882</v>
      </c>
      <c r="E406" s="43"/>
      <c r="F406" s="59">
        <f>F407</f>
        <v>446.4</v>
      </c>
      <c r="G406" s="59">
        <f>G407</f>
        <v>0</v>
      </c>
      <c r="H406" s="59">
        <f>H407</f>
        <v>0</v>
      </c>
    </row>
    <row r="407" spans="1:8" ht="47.25">
      <c r="A407" s="40" t="s">
        <v>20</v>
      </c>
      <c r="B407" s="43" t="s">
        <v>69</v>
      </c>
      <c r="C407" s="43" t="s">
        <v>54</v>
      </c>
      <c r="D407" s="43" t="s">
        <v>882</v>
      </c>
      <c r="E407" s="43" t="s">
        <v>100</v>
      </c>
      <c r="F407" s="59">
        <f>583.3+36.5-36.5-136.9</f>
        <v>446.4</v>
      </c>
      <c r="G407" s="59">
        <v>0</v>
      </c>
      <c r="H407" s="59">
        <v>0</v>
      </c>
    </row>
    <row r="408" spans="1:8" ht="63">
      <c r="A408" s="40" t="s">
        <v>786</v>
      </c>
      <c r="B408" s="43" t="s">
        <v>69</v>
      </c>
      <c r="C408" s="43" t="s">
        <v>54</v>
      </c>
      <c r="D408" s="43" t="s">
        <v>398</v>
      </c>
      <c r="E408" s="74"/>
      <c r="F408" s="94">
        <f>F416+F409</f>
        <v>4430.8</v>
      </c>
      <c r="G408" s="94">
        <f>G416+G409</f>
        <v>2158.9</v>
      </c>
      <c r="H408" s="94">
        <f>H416+H409</f>
        <v>0</v>
      </c>
    </row>
    <row r="409" spans="1:8" ht="47.25">
      <c r="A409" s="40" t="s">
        <v>775</v>
      </c>
      <c r="B409" s="43" t="s">
        <v>69</v>
      </c>
      <c r="C409" s="43" t="s">
        <v>54</v>
      </c>
      <c r="D409" s="43" t="s">
        <v>776</v>
      </c>
      <c r="E409" s="74"/>
      <c r="F409" s="94">
        <f>F413+F410</f>
        <v>2415.3</v>
      </c>
      <c r="G409" s="94">
        <f>G413+G410</f>
        <v>0</v>
      </c>
      <c r="H409" s="94">
        <f>H413+H410</f>
        <v>0</v>
      </c>
    </row>
    <row r="410" spans="1:8" ht="31.5">
      <c r="A410" s="40" t="s">
        <v>783</v>
      </c>
      <c r="B410" s="43" t="s">
        <v>69</v>
      </c>
      <c r="C410" s="43" t="s">
        <v>54</v>
      </c>
      <c r="D410" s="43" t="s">
        <v>782</v>
      </c>
      <c r="E410" s="74"/>
      <c r="F410" s="94">
        <f aca="true" t="shared" si="59" ref="F410:H411">F411</f>
        <v>40</v>
      </c>
      <c r="G410" s="94">
        <f t="shared" si="59"/>
        <v>0</v>
      </c>
      <c r="H410" s="94">
        <f t="shared" si="59"/>
        <v>0</v>
      </c>
    </row>
    <row r="411" spans="1:8" ht="31.5">
      <c r="A411" s="40" t="s">
        <v>784</v>
      </c>
      <c r="B411" s="43" t="s">
        <v>69</v>
      </c>
      <c r="C411" s="43" t="s">
        <v>54</v>
      </c>
      <c r="D411" s="43" t="s">
        <v>785</v>
      </c>
      <c r="E411" s="74"/>
      <c r="F411" s="94">
        <f t="shared" si="59"/>
        <v>40</v>
      </c>
      <c r="G411" s="94">
        <f t="shared" si="59"/>
        <v>0</v>
      </c>
      <c r="H411" s="94">
        <f t="shared" si="59"/>
        <v>0</v>
      </c>
    </row>
    <row r="412" spans="1:8" ht="47.25">
      <c r="A412" s="40" t="s">
        <v>20</v>
      </c>
      <c r="B412" s="43" t="s">
        <v>69</v>
      </c>
      <c r="C412" s="43" t="s">
        <v>54</v>
      </c>
      <c r="D412" s="43" t="s">
        <v>785</v>
      </c>
      <c r="E412" s="74" t="s">
        <v>100</v>
      </c>
      <c r="F412" s="94">
        <v>40</v>
      </c>
      <c r="G412" s="94">
        <v>0</v>
      </c>
      <c r="H412" s="94">
        <v>0</v>
      </c>
    </row>
    <row r="413" spans="1:8" ht="78.75">
      <c r="A413" s="40" t="s">
        <v>777</v>
      </c>
      <c r="B413" s="43" t="s">
        <v>69</v>
      </c>
      <c r="C413" s="43" t="s">
        <v>54</v>
      </c>
      <c r="D413" s="43" t="s">
        <v>778</v>
      </c>
      <c r="E413" s="74"/>
      <c r="F413" s="94">
        <f aca="true" t="shared" si="60" ref="F413:H414">F414</f>
        <v>2375.3</v>
      </c>
      <c r="G413" s="94">
        <f t="shared" si="60"/>
        <v>0</v>
      </c>
      <c r="H413" s="94">
        <f t="shared" si="60"/>
        <v>0</v>
      </c>
    </row>
    <row r="414" spans="1:8" ht="31.5">
      <c r="A414" s="40" t="s">
        <v>781</v>
      </c>
      <c r="B414" s="43" t="s">
        <v>69</v>
      </c>
      <c r="C414" s="43" t="s">
        <v>54</v>
      </c>
      <c r="D414" s="43" t="s">
        <v>993</v>
      </c>
      <c r="E414" s="74"/>
      <c r="F414" s="94">
        <f t="shared" si="60"/>
        <v>2375.3</v>
      </c>
      <c r="G414" s="94">
        <f t="shared" si="60"/>
        <v>0</v>
      </c>
      <c r="H414" s="94">
        <f t="shared" si="60"/>
        <v>0</v>
      </c>
    </row>
    <row r="415" spans="1:8" ht="47.25">
      <c r="A415" s="40" t="s">
        <v>20</v>
      </c>
      <c r="B415" s="43" t="s">
        <v>69</v>
      </c>
      <c r="C415" s="43" t="s">
        <v>54</v>
      </c>
      <c r="D415" s="43" t="s">
        <v>993</v>
      </c>
      <c r="E415" s="74" t="s">
        <v>100</v>
      </c>
      <c r="F415" s="94">
        <f>2137.8+237.5</f>
        <v>2375.3</v>
      </c>
      <c r="G415" s="45">
        <v>0</v>
      </c>
      <c r="H415" s="94">
        <v>0</v>
      </c>
    </row>
    <row r="416" spans="1:8" ht="47.25">
      <c r="A416" s="40" t="s">
        <v>779</v>
      </c>
      <c r="B416" s="43" t="s">
        <v>69</v>
      </c>
      <c r="C416" s="43" t="s">
        <v>54</v>
      </c>
      <c r="D416" s="43" t="s">
        <v>399</v>
      </c>
      <c r="E416" s="74"/>
      <c r="F416" s="94">
        <f>F420+F417</f>
        <v>2015.5</v>
      </c>
      <c r="G416" s="94">
        <f>G420+G417</f>
        <v>2158.9</v>
      </c>
      <c r="H416" s="94">
        <f>H420+H417</f>
        <v>0</v>
      </c>
    </row>
    <row r="417" spans="1:8" ht="31.5">
      <c r="A417" s="40" t="s">
        <v>783</v>
      </c>
      <c r="B417" s="43" t="s">
        <v>69</v>
      </c>
      <c r="C417" s="43" t="s">
        <v>54</v>
      </c>
      <c r="D417" s="43" t="s">
        <v>787</v>
      </c>
      <c r="E417" s="74"/>
      <c r="F417" s="94">
        <f aca="true" t="shared" si="61" ref="F417:H418">F418</f>
        <v>40</v>
      </c>
      <c r="G417" s="94">
        <f t="shared" si="61"/>
        <v>40</v>
      </c>
      <c r="H417" s="94">
        <f t="shared" si="61"/>
        <v>0</v>
      </c>
    </row>
    <row r="418" spans="1:8" ht="31.5">
      <c r="A418" s="40" t="s">
        <v>784</v>
      </c>
      <c r="B418" s="43" t="s">
        <v>69</v>
      </c>
      <c r="C418" s="43" t="s">
        <v>54</v>
      </c>
      <c r="D418" s="43" t="s">
        <v>788</v>
      </c>
      <c r="E418" s="74"/>
      <c r="F418" s="94">
        <f t="shared" si="61"/>
        <v>40</v>
      </c>
      <c r="G418" s="94">
        <f t="shared" si="61"/>
        <v>40</v>
      </c>
      <c r="H418" s="94">
        <f t="shared" si="61"/>
        <v>0</v>
      </c>
    </row>
    <row r="419" spans="1:8" ht="47.25">
      <c r="A419" s="40" t="s">
        <v>20</v>
      </c>
      <c r="B419" s="43" t="s">
        <v>69</v>
      </c>
      <c r="C419" s="43" t="s">
        <v>54</v>
      </c>
      <c r="D419" s="43" t="s">
        <v>788</v>
      </c>
      <c r="E419" s="74" t="s">
        <v>100</v>
      </c>
      <c r="F419" s="94">
        <v>40</v>
      </c>
      <c r="G419" s="94">
        <v>40</v>
      </c>
      <c r="H419" s="94">
        <v>0</v>
      </c>
    </row>
    <row r="420" spans="1:8" ht="87" customHeight="1">
      <c r="A420" s="40" t="s">
        <v>780</v>
      </c>
      <c r="B420" s="43" t="s">
        <v>69</v>
      </c>
      <c r="C420" s="43" t="s">
        <v>54</v>
      </c>
      <c r="D420" s="43" t="s">
        <v>430</v>
      </c>
      <c r="E420" s="74"/>
      <c r="F420" s="94">
        <f aca="true" t="shared" si="62" ref="F420:H421">F421</f>
        <v>1975.5</v>
      </c>
      <c r="G420" s="94">
        <f t="shared" si="62"/>
        <v>2118.9</v>
      </c>
      <c r="H420" s="94">
        <f t="shared" si="62"/>
        <v>0</v>
      </c>
    </row>
    <row r="421" spans="1:8" ht="37.5" customHeight="1">
      <c r="A421" s="40" t="s">
        <v>501</v>
      </c>
      <c r="B421" s="43" t="s">
        <v>69</v>
      </c>
      <c r="C421" s="43" t="s">
        <v>54</v>
      </c>
      <c r="D421" s="43" t="s">
        <v>431</v>
      </c>
      <c r="E421" s="74"/>
      <c r="F421" s="94">
        <f t="shared" si="62"/>
        <v>1975.5</v>
      </c>
      <c r="G421" s="94">
        <f t="shared" si="62"/>
        <v>2118.9</v>
      </c>
      <c r="H421" s="94">
        <f t="shared" si="62"/>
        <v>0</v>
      </c>
    </row>
    <row r="422" spans="1:8" ht="47.25">
      <c r="A422" s="40" t="s">
        <v>20</v>
      </c>
      <c r="B422" s="43" t="s">
        <v>69</v>
      </c>
      <c r="C422" s="43" t="s">
        <v>54</v>
      </c>
      <c r="D422" s="43" t="s">
        <v>431</v>
      </c>
      <c r="E422" s="74" t="s">
        <v>100</v>
      </c>
      <c r="F422" s="94">
        <v>1975.5</v>
      </c>
      <c r="G422" s="45">
        <v>2118.9</v>
      </c>
      <c r="H422" s="45">
        <v>0</v>
      </c>
    </row>
    <row r="423" spans="1:8" ht="31.5">
      <c r="A423" s="40" t="s">
        <v>887</v>
      </c>
      <c r="B423" s="43" t="s">
        <v>69</v>
      </c>
      <c r="C423" s="43" t="s">
        <v>69</v>
      </c>
      <c r="D423" s="43"/>
      <c r="E423" s="74"/>
      <c r="F423" s="94">
        <f>F424</f>
        <v>370.79999999999995</v>
      </c>
      <c r="G423" s="94">
        <f aca="true" t="shared" si="63" ref="G423:H426">G424</f>
        <v>170</v>
      </c>
      <c r="H423" s="94">
        <f t="shared" si="63"/>
        <v>170</v>
      </c>
    </row>
    <row r="424" spans="1:8" ht="47.25">
      <c r="A424" s="37" t="s">
        <v>856</v>
      </c>
      <c r="B424" s="43" t="s">
        <v>69</v>
      </c>
      <c r="C424" s="43" t="s">
        <v>69</v>
      </c>
      <c r="D424" s="43" t="s">
        <v>169</v>
      </c>
      <c r="E424" s="74"/>
      <c r="F424" s="94">
        <f>F425</f>
        <v>370.79999999999995</v>
      </c>
      <c r="G424" s="94">
        <f t="shared" si="63"/>
        <v>170</v>
      </c>
      <c r="H424" s="94">
        <f t="shared" si="63"/>
        <v>170</v>
      </c>
    </row>
    <row r="425" spans="1:8" ht="31.5">
      <c r="A425" s="37" t="s">
        <v>876</v>
      </c>
      <c r="B425" s="43" t="s">
        <v>69</v>
      </c>
      <c r="C425" s="43" t="s">
        <v>69</v>
      </c>
      <c r="D425" s="43" t="s">
        <v>965</v>
      </c>
      <c r="E425" s="43"/>
      <c r="F425" s="94">
        <f>F426</f>
        <v>370.79999999999995</v>
      </c>
      <c r="G425" s="94">
        <f t="shared" si="63"/>
        <v>170</v>
      </c>
      <c r="H425" s="94">
        <f t="shared" si="63"/>
        <v>170</v>
      </c>
    </row>
    <row r="426" spans="1:8" ht="31.5">
      <c r="A426" s="40" t="s">
        <v>877</v>
      </c>
      <c r="B426" s="43" t="s">
        <v>69</v>
      </c>
      <c r="C426" s="43" t="s">
        <v>69</v>
      </c>
      <c r="D426" s="43" t="s">
        <v>878</v>
      </c>
      <c r="E426" s="74"/>
      <c r="F426" s="94">
        <f>F427</f>
        <v>370.79999999999995</v>
      </c>
      <c r="G426" s="94">
        <f t="shared" si="63"/>
        <v>170</v>
      </c>
      <c r="H426" s="94">
        <f t="shared" si="63"/>
        <v>170</v>
      </c>
    </row>
    <row r="427" spans="1:8" ht="31.5">
      <c r="A427" s="37" t="s">
        <v>96</v>
      </c>
      <c r="B427" s="43" t="s">
        <v>69</v>
      </c>
      <c r="C427" s="43" t="s">
        <v>69</v>
      </c>
      <c r="D427" s="43" t="s">
        <v>878</v>
      </c>
      <c r="E427" s="74" t="s">
        <v>97</v>
      </c>
      <c r="F427" s="94">
        <v>370.79999999999995</v>
      </c>
      <c r="G427" s="94">
        <v>170</v>
      </c>
      <c r="H427" s="94">
        <v>170</v>
      </c>
    </row>
    <row r="428" spans="1:8" ht="15.75">
      <c r="A428" s="50" t="s">
        <v>75</v>
      </c>
      <c r="B428" s="46" t="s">
        <v>58</v>
      </c>
      <c r="C428" s="46"/>
      <c r="D428" s="46"/>
      <c r="E428" s="46"/>
      <c r="F428" s="93">
        <f aca="true" t="shared" si="64" ref="F428:H429">F429</f>
        <v>1865.9</v>
      </c>
      <c r="G428" s="93">
        <f t="shared" si="64"/>
        <v>1865.9</v>
      </c>
      <c r="H428" s="93">
        <f t="shared" si="64"/>
        <v>1865.9</v>
      </c>
    </row>
    <row r="429" spans="1:8" ht="31.5">
      <c r="A429" s="40" t="s">
        <v>232</v>
      </c>
      <c r="B429" s="43" t="s">
        <v>58</v>
      </c>
      <c r="C429" s="43" t="s">
        <v>69</v>
      </c>
      <c r="D429" s="43"/>
      <c r="E429" s="43"/>
      <c r="F429" s="45">
        <f t="shared" si="64"/>
        <v>1865.9</v>
      </c>
      <c r="G429" s="45">
        <f t="shared" si="64"/>
        <v>1865.9</v>
      </c>
      <c r="H429" s="45">
        <f t="shared" si="64"/>
        <v>1865.9</v>
      </c>
    </row>
    <row r="430" spans="1:8" ht="47.25">
      <c r="A430" s="40" t="s">
        <v>836</v>
      </c>
      <c r="B430" s="43" t="s">
        <v>58</v>
      </c>
      <c r="C430" s="43" t="s">
        <v>69</v>
      </c>
      <c r="D430" s="43" t="s">
        <v>139</v>
      </c>
      <c r="E430" s="43"/>
      <c r="F430" s="59">
        <f>F434+F440+F443+F437+F431</f>
        <v>1865.9</v>
      </c>
      <c r="G430" s="59">
        <f>G434+G440+G443+G437+G431</f>
        <v>1865.9</v>
      </c>
      <c r="H430" s="59">
        <f>H434+H440+H443+H437+H431</f>
        <v>1865.9</v>
      </c>
    </row>
    <row r="431" spans="1:8" ht="47.25">
      <c r="A431" s="40" t="s">
        <v>545</v>
      </c>
      <c r="B431" s="43" t="s">
        <v>58</v>
      </c>
      <c r="C431" s="43" t="s">
        <v>69</v>
      </c>
      <c r="D431" s="43" t="s">
        <v>544</v>
      </c>
      <c r="E431" s="103"/>
      <c r="F431" s="94">
        <f aca="true" t="shared" si="65" ref="F431:H432">F432</f>
        <v>1200</v>
      </c>
      <c r="G431" s="94">
        <f t="shared" si="65"/>
        <v>1200</v>
      </c>
      <c r="H431" s="94">
        <f t="shared" si="65"/>
        <v>1200</v>
      </c>
    </row>
    <row r="432" spans="1:8" ht="31.5">
      <c r="A432" s="40" t="s">
        <v>106</v>
      </c>
      <c r="B432" s="43" t="s">
        <v>58</v>
      </c>
      <c r="C432" s="43" t="s">
        <v>69</v>
      </c>
      <c r="D432" s="43" t="s">
        <v>546</v>
      </c>
      <c r="E432" s="103"/>
      <c r="F432" s="94">
        <f t="shared" si="65"/>
        <v>1200</v>
      </c>
      <c r="G432" s="94">
        <f t="shared" si="65"/>
        <v>1200</v>
      </c>
      <c r="H432" s="94">
        <f t="shared" si="65"/>
        <v>1200</v>
      </c>
    </row>
    <row r="433" spans="1:8" ht="47.25">
      <c r="A433" s="40" t="s">
        <v>20</v>
      </c>
      <c r="B433" s="43" t="s">
        <v>58</v>
      </c>
      <c r="C433" s="43" t="s">
        <v>69</v>
      </c>
      <c r="D433" s="43" t="s">
        <v>546</v>
      </c>
      <c r="E433" s="74" t="s">
        <v>100</v>
      </c>
      <c r="F433" s="94">
        <v>1200</v>
      </c>
      <c r="G433" s="94">
        <v>1200</v>
      </c>
      <c r="H433" s="94">
        <v>1200</v>
      </c>
    </row>
    <row r="434" spans="1:8" ht="47.25">
      <c r="A434" s="40" t="s">
        <v>847</v>
      </c>
      <c r="B434" s="43" t="s">
        <v>58</v>
      </c>
      <c r="C434" s="43" t="s">
        <v>69</v>
      </c>
      <c r="D434" s="43" t="s">
        <v>18</v>
      </c>
      <c r="E434" s="43"/>
      <c r="F434" s="59">
        <f aca="true" t="shared" si="66" ref="F434:H435">F435</f>
        <v>15</v>
      </c>
      <c r="G434" s="45">
        <f t="shared" si="66"/>
        <v>15</v>
      </c>
      <c r="H434" s="45">
        <f t="shared" si="66"/>
        <v>15</v>
      </c>
    </row>
    <row r="435" spans="1:8" ht="31.5">
      <c r="A435" s="40" t="s">
        <v>106</v>
      </c>
      <c r="B435" s="43" t="s">
        <v>58</v>
      </c>
      <c r="C435" s="43" t="s">
        <v>69</v>
      </c>
      <c r="D435" s="43" t="s">
        <v>19</v>
      </c>
      <c r="E435" s="43"/>
      <c r="F435" s="59">
        <f t="shared" si="66"/>
        <v>15</v>
      </c>
      <c r="G435" s="45">
        <f t="shared" si="66"/>
        <v>15</v>
      </c>
      <c r="H435" s="45">
        <f t="shared" si="66"/>
        <v>15</v>
      </c>
    </row>
    <row r="436" spans="1:8" ht="47.25">
      <c r="A436" s="40" t="s">
        <v>20</v>
      </c>
      <c r="B436" s="43" t="s">
        <v>58</v>
      </c>
      <c r="C436" s="43" t="s">
        <v>69</v>
      </c>
      <c r="D436" s="43" t="s">
        <v>19</v>
      </c>
      <c r="E436" s="43" t="s">
        <v>100</v>
      </c>
      <c r="F436" s="45">
        <v>15</v>
      </c>
      <c r="G436" s="45">
        <v>15</v>
      </c>
      <c r="H436" s="45">
        <v>15</v>
      </c>
    </row>
    <row r="437" spans="1:8" ht="31.5">
      <c r="A437" s="40" t="s">
        <v>140</v>
      </c>
      <c r="B437" s="43" t="s">
        <v>58</v>
      </c>
      <c r="C437" s="43" t="s">
        <v>69</v>
      </c>
      <c r="D437" s="43" t="s">
        <v>141</v>
      </c>
      <c r="E437" s="43"/>
      <c r="F437" s="45">
        <f aca="true" t="shared" si="67" ref="F437:H438">F438</f>
        <v>30</v>
      </c>
      <c r="G437" s="45">
        <f t="shared" si="67"/>
        <v>30</v>
      </c>
      <c r="H437" s="45">
        <f t="shared" si="67"/>
        <v>30</v>
      </c>
    </row>
    <row r="438" spans="1:8" ht="31.5">
      <c r="A438" s="40" t="s">
        <v>106</v>
      </c>
      <c r="B438" s="43" t="s">
        <v>58</v>
      </c>
      <c r="C438" s="43" t="s">
        <v>69</v>
      </c>
      <c r="D438" s="43" t="s">
        <v>142</v>
      </c>
      <c r="E438" s="43"/>
      <c r="F438" s="45">
        <f t="shared" si="67"/>
        <v>30</v>
      </c>
      <c r="G438" s="45">
        <f t="shared" si="67"/>
        <v>30</v>
      </c>
      <c r="H438" s="45">
        <f t="shared" si="67"/>
        <v>30</v>
      </c>
    </row>
    <row r="439" spans="1:8" ht="47.25">
      <c r="A439" s="40" t="s">
        <v>20</v>
      </c>
      <c r="B439" s="43" t="s">
        <v>58</v>
      </c>
      <c r="C439" s="43" t="s">
        <v>69</v>
      </c>
      <c r="D439" s="43" t="s">
        <v>142</v>
      </c>
      <c r="E439" s="43" t="s">
        <v>100</v>
      </c>
      <c r="F439" s="45">
        <v>30</v>
      </c>
      <c r="G439" s="45">
        <v>30</v>
      </c>
      <c r="H439" s="45">
        <v>30</v>
      </c>
    </row>
    <row r="440" spans="1:8" ht="63">
      <c r="A440" s="40" t="s">
        <v>848</v>
      </c>
      <c r="B440" s="43" t="s">
        <v>58</v>
      </c>
      <c r="C440" s="43" t="s">
        <v>69</v>
      </c>
      <c r="D440" s="43" t="s">
        <v>137</v>
      </c>
      <c r="E440" s="43"/>
      <c r="F440" s="59">
        <f aca="true" t="shared" si="68" ref="F440:H441">F441</f>
        <v>15</v>
      </c>
      <c r="G440" s="45">
        <f t="shared" si="68"/>
        <v>15</v>
      </c>
      <c r="H440" s="45">
        <f t="shared" si="68"/>
        <v>15</v>
      </c>
    </row>
    <row r="441" spans="1:8" ht="31.5">
      <c r="A441" s="40" t="s">
        <v>106</v>
      </c>
      <c r="B441" s="43" t="s">
        <v>58</v>
      </c>
      <c r="C441" s="43" t="s">
        <v>69</v>
      </c>
      <c r="D441" s="43" t="s">
        <v>279</v>
      </c>
      <c r="E441" s="43"/>
      <c r="F441" s="59">
        <f t="shared" si="68"/>
        <v>15</v>
      </c>
      <c r="G441" s="45">
        <f t="shared" si="68"/>
        <v>15</v>
      </c>
      <c r="H441" s="45">
        <f t="shared" si="68"/>
        <v>15</v>
      </c>
    </row>
    <row r="442" spans="1:8" ht="47.25">
      <c r="A442" s="40" t="s">
        <v>20</v>
      </c>
      <c r="B442" s="43" t="s">
        <v>58</v>
      </c>
      <c r="C442" s="43" t="s">
        <v>69</v>
      </c>
      <c r="D442" s="43" t="s">
        <v>279</v>
      </c>
      <c r="E442" s="43" t="s">
        <v>100</v>
      </c>
      <c r="F442" s="59">
        <v>15</v>
      </c>
      <c r="G442" s="59">
        <v>15</v>
      </c>
      <c r="H442" s="59">
        <v>15</v>
      </c>
    </row>
    <row r="443" spans="1:8" ht="78.75">
      <c r="A443" s="40" t="s">
        <v>258</v>
      </c>
      <c r="B443" s="43" t="s">
        <v>58</v>
      </c>
      <c r="C443" s="43" t="s">
        <v>69</v>
      </c>
      <c r="D443" s="44" t="s">
        <v>275</v>
      </c>
      <c r="E443" s="44"/>
      <c r="F443" s="45">
        <f aca="true" t="shared" si="69" ref="F443:H444">F444</f>
        <v>605.9</v>
      </c>
      <c r="G443" s="45">
        <f t="shared" si="69"/>
        <v>605.9</v>
      </c>
      <c r="H443" s="45">
        <f t="shared" si="69"/>
        <v>605.9</v>
      </c>
    </row>
    <row r="444" spans="1:8" ht="126">
      <c r="A444" s="124" t="s">
        <v>107</v>
      </c>
      <c r="B444" s="43" t="s">
        <v>58</v>
      </c>
      <c r="C444" s="43" t="s">
        <v>69</v>
      </c>
      <c r="D444" s="44" t="s">
        <v>276</v>
      </c>
      <c r="E444" s="44"/>
      <c r="F444" s="45">
        <f t="shared" si="69"/>
        <v>605.9</v>
      </c>
      <c r="G444" s="45">
        <f t="shared" si="69"/>
        <v>605.9</v>
      </c>
      <c r="H444" s="45">
        <f t="shared" si="69"/>
        <v>605.9</v>
      </c>
    </row>
    <row r="445" spans="1:8" ht="47.25">
      <c r="A445" s="40" t="s">
        <v>20</v>
      </c>
      <c r="B445" s="43" t="s">
        <v>58</v>
      </c>
      <c r="C445" s="43" t="s">
        <v>69</v>
      </c>
      <c r="D445" s="44" t="s">
        <v>276</v>
      </c>
      <c r="E445" s="44" t="s">
        <v>100</v>
      </c>
      <c r="F445" s="59">
        <v>605.9</v>
      </c>
      <c r="G445" s="59">
        <v>605.9</v>
      </c>
      <c r="H445" s="59">
        <v>605.9</v>
      </c>
    </row>
    <row r="446" spans="1:8" ht="15.75">
      <c r="A446" s="50" t="s">
        <v>76</v>
      </c>
      <c r="B446" s="46" t="s">
        <v>59</v>
      </c>
      <c r="C446" s="46"/>
      <c r="D446" s="46"/>
      <c r="E446" s="46"/>
      <c r="F446" s="93">
        <f>F447+F459+F496+F553+F578+F522</f>
        <v>248907.7</v>
      </c>
      <c r="G446" s="93">
        <f>G447+G459+G496+G553+G578+G522</f>
        <v>251557.49999999997</v>
      </c>
      <c r="H446" s="93">
        <f>H447+H459+H496+H553+H578+H522</f>
        <v>254826.19999999998</v>
      </c>
    </row>
    <row r="447" spans="1:8" ht="15.75">
      <c r="A447" s="40" t="s">
        <v>77</v>
      </c>
      <c r="B447" s="43" t="s">
        <v>59</v>
      </c>
      <c r="C447" s="43" t="s">
        <v>51</v>
      </c>
      <c r="D447" s="43"/>
      <c r="E447" s="43"/>
      <c r="F447" s="45">
        <f>F448</f>
        <v>52264</v>
      </c>
      <c r="G447" s="45">
        <f>G448</f>
        <v>54373.399999999994</v>
      </c>
      <c r="H447" s="45">
        <f>H448</f>
        <v>56355.8</v>
      </c>
    </row>
    <row r="448" spans="1:8" ht="47.25">
      <c r="A448" s="40" t="s">
        <v>932</v>
      </c>
      <c r="B448" s="43" t="s">
        <v>59</v>
      </c>
      <c r="C448" s="43" t="s">
        <v>51</v>
      </c>
      <c r="D448" s="43" t="s">
        <v>369</v>
      </c>
      <c r="E448" s="43"/>
      <c r="F448" s="45">
        <f aca="true" t="shared" si="70" ref="F448:H449">F449</f>
        <v>52264</v>
      </c>
      <c r="G448" s="45">
        <f t="shared" si="70"/>
        <v>54373.399999999994</v>
      </c>
      <c r="H448" s="45">
        <f t="shared" si="70"/>
        <v>56355.8</v>
      </c>
    </row>
    <row r="449" spans="1:8" ht="78.75">
      <c r="A449" s="40" t="s">
        <v>108</v>
      </c>
      <c r="B449" s="43" t="s">
        <v>59</v>
      </c>
      <c r="C449" s="43" t="s">
        <v>51</v>
      </c>
      <c r="D449" s="43" t="s">
        <v>151</v>
      </c>
      <c r="E449" s="43"/>
      <c r="F449" s="45">
        <f>F450</f>
        <v>52264</v>
      </c>
      <c r="G449" s="45">
        <f t="shared" si="70"/>
        <v>54373.399999999994</v>
      </c>
      <c r="H449" s="45">
        <f t="shared" si="70"/>
        <v>56355.8</v>
      </c>
    </row>
    <row r="450" spans="1:8" ht="47.25">
      <c r="A450" s="40" t="s">
        <v>152</v>
      </c>
      <c r="B450" s="43" t="s">
        <v>59</v>
      </c>
      <c r="C450" s="43" t="s">
        <v>51</v>
      </c>
      <c r="D450" s="43" t="s">
        <v>153</v>
      </c>
      <c r="E450" s="43"/>
      <c r="F450" s="45">
        <f>F451+F457+F453+F455</f>
        <v>52264</v>
      </c>
      <c r="G450" s="45">
        <f>G451+G457+G453+G455</f>
        <v>54373.399999999994</v>
      </c>
      <c r="H450" s="45">
        <f>H451+H457+H453+H455</f>
        <v>56355.8</v>
      </c>
    </row>
    <row r="451" spans="1:8" ht="15.75">
      <c r="A451" s="40" t="s">
        <v>109</v>
      </c>
      <c r="B451" s="43" t="s">
        <v>59</v>
      </c>
      <c r="C451" s="43" t="s">
        <v>51</v>
      </c>
      <c r="D451" s="43" t="s">
        <v>154</v>
      </c>
      <c r="E451" s="43"/>
      <c r="F451" s="45">
        <f>F452</f>
        <v>8689.3</v>
      </c>
      <c r="G451" s="45">
        <f>G452</f>
        <v>8647.6</v>
      </c>
      <c r="H451" s="45">
        <f>H452</f>
        <v>8409.9</v>
      </c>
    </row>
    <row r="452" spans="1:8" ht="15.75">
      <c r="A452" s="40" t="s">
        <v>110</v>
      </c>
      <c r="B452" s="43" t="s">
        <v>59</v>
      </c>
      <c r="C452" s="43" t="s">
        <v>51</v>
      </c>
      <c r="D452" s="43" t="s">
        <v>154</v>
      </c>
      <c r="E452" s="43" t="s">
        <v>111</v>
      </c>
      <c r="F452" s="45">
        <v>8689.3</v>
      </c>
      <c r="G452" s="45">
        <v>8647.6</v>
      </c>
      <c r="H452" s="45">
        <v>8409.9</v>
      </c>
    </row>
    <row r="453" spans="1:8" ht="31.5">
      <c r="A453" s="40" t="s">
        <v>114</v>
      </c>
      <c r="B453" s="43" t="s">
        <v>59</v>
      </c>
      <c r="C453" s="43" t="s">
        <v>51</v>
      </c>
      <c r="D453" s="43" t="s">
        <v>292</v>
      </c>
      <c r="E453" s="43"/>
      <c r="F453" s="45">
        <f>F454</f>
        <v>682.7</v>
      </c>
      <c r="G453" s="45">
        <f>G454</f>
        <v>629.7</v>
      </c>
      <c r="H453" s="45">
        <f>H454</f>
        <v>575</v>
      </c>
    </row>
    <row r="454" spans="1:8" ht="15.75">
      <c r="A454" s="40" t="s">
        <v>110</v>
      </c>
      <c r="B454" s="43" t="s">
        <v>59</v>
      </c>
      <c r="C454" s="43" t="s">
        <v>51</v>
      </c>
      <c r="D454" s="43" t="s">
        <v>292</v>
      </c>
      <c r="E454" s="43" t="s">
        <v>111</v>
      </c>
      <c r="F454" s="45">
        <v>682.7</v>
      </c>
      <c r="G454" s="45">
        <v>629.7</v>
      </c>
      <c r="H454" s="45">
        <v>575</v>
      </c>
    </row>
    <row r="455" spans="1:8" ht="47.25">
      <c r="A455" s="40" t="s">
        <v>462</v>
      </c>
      <c r="B455" s="43" t="s">
        <v>59</v>
      </c>
      <c r="C455" s="43" t="s">
        <v>51</v>
      </c>
      <c r="D455" s="43" t="s">
        <v>473</v>
      </c>
      <c r="E455" s="43"/>
      <c r="F455" s="45">
        <f>F456</f>
        <v>5488.5</v>
      </c>
      <c r="G455" s="45">
        <f>G456</f>
        <v>5771.7</v>
      </c>
      <c r="H455" s="45">
        <f>H456</f>
        <v>6064.1</v>
      </c>
    </row>
    <row r="456" spans="1:8" ht="15.75">
      <c r="A456" s="40" t="s">
        <v>110</v>
      </c>
      <c r="B456" s="43" t="s">
        <v>59</v>
      </c>
      <c r="C456" s="43" t="s">
        <v>51</v>
      </c>
      <c r="D456" s="43" t="s">
        <v>473</v>
      </c>
      <c r="E456" s="43" t="s">
        <v>111</v>
      </c>
      <c r="F456" s="45">
        <v>5488.5</v>
      </c>
      <c r="G456" s="45">
        <v>5771.7</v>
      </c>
      <c r="H456" s="45">
        <v>6064.1</v>
      </c>
    </row>
    <row r="457" spans="1:8" ht="63">
      <c r="A457" s="40" t="s">
        <v>161</v>
      </c>
      <c r="B457" s="43" t="s">
        <v>59</v>
      </c>
      <c r="C457" s="43" t="s">
        <v>51</v>
      </c>
      <c r="D457" s="43" t="s">
        <v>160</v>
      </c>
      <c r="E457" s="43"/>
      <c r="F457" s="45">
        <f>F458</f>
        <v>37403.5</v>
      </c>
      <c r="G457" s="45">
        <f>G458</f>
        <v>39324.4</v>
      </c>
      <c r="H457" s="45">
        <f>H458</f>
        <v>41306.8</v>
      </c>
    </row>
    <row r="458" spans="1:8" ht="15.75">
      <c r="A458" s="40" t="s">
        <v>110</v>
      </c>
      <c r="B458" s="43" t="s">
        <v>59</v>
      </c>
      <c r="C458" s="43" t="s">
        <v>51</v>
      </c>
      <c r="D458" s="43" t="s">
        <v>160</v>
      </c>
      <c r="E458" s="43" t="s">
        <v>111</v>
      </c>
      <c r="F458" s="45">
        <v>37403.5</v>
      </c>
      <c r="G458" s="45">
        <v>39324.4</v>
      </c>
      <c r="H458" s="45">
        <v>41306.8</v>
      </c>
    </row>
    <row r="459" spans="1:8" ht="15.75">
      <c r="A459" s="40" t="s">
        <v>78</v>
      </c>
      <c r="B459" s="43" t="s">
        <v>59</v>
      </c>
      <c r="C459" s="43" t="s">
        <v>52</v>
      </c>
      <c r="D459" s="43"/>
      <c r="E459" s="43"/>
      <c r="F459" s="45">
        <f>F460+F488+F492</f>
        <v>139579.5</v>
      </c>
      <c r="G459" s="45">
        <f>G460+G488+G492</f>
        <v>147470.19999999998</v>
      </c>
      <c r="H459" s="45">
        <f>H460+H488+H492</f>
        <v>148756.5</v>
      </c>
    </row>
    <row r="460" spans="1:8" ht="47.25">
      <c r="A460" s="40" t="s">
        <v>932</v>
      </c>
      <c r="B460" s="43" t="s">
        <v>59</v>
      </c>
      <c r="C460" s="43" t="s">
        <v>52</v>
      </c>
      <c r="D460" s="43" t="s">
        <v>369</v>
      </c>
      <c r="E460" s="43"/>
      <c r="F460" s="45">
        <f>F461</f>
        <v>139256.6</v>
      </c>
      <c r="G460" s="45">
        <f>G461</f>
        <v>147147.3</v>
      </c>
      <c r="H460" s="45">
        <f>H461</f>
        <v>148433.6</v>
      </c>
    </row>
    <row r="461" spans="1:8" ht="31.5">
      <c r="A461" s="40" t="s">
        <v>112</v>
      </c>
      <c r="B461" s="43" t="s">
        <v>59</v>
      </c>
      <c r="C461" s="43" t="s">
        <v>52</v>
      </c>
      <c r="D461" s="43" t="s">
        <v>156</v>
      </c>
      <c r="E461" s="43"/>
      <c r="F461" s="45">
        <f>F464+F475+F482+F485</f>
        <v>139256.6</v>
      </c>
      <c r="G461" s="45">
        <f>G464+G475+G482+G485</f>
        <v>147147.3</v>
      </c>
      <c r="H461" s="45">
        <f>H464+H475+H482+H485</f>
        <v>148433.6</v>
      </c>
    </row>
    <row r="462" spans="1:8" ht="47.25" hidden="1">
      <c r="A462" s="40" t="s">
        <v>502</v>
      </c>
      <c r="B462" s="43" t="s">
        <v>59</v>
      </c>
      <c r="C462" s="43" t="s">
        <v>52</v>
      </c>
      <c r="D462" s="43" t="s">
        <v>474</v>
      </c>
      <c r="E462" s="43"/>
      <c r="F462" s="45">
        <f>F463</f>
        <v>0</v>
      </c>
      <c r="G462" s="45">
        <f>G463</f>
        <v>0</v>
      </c>
      <c r="H462" s="45">
        <f>H463</f>
        <v>0</v>
      </c>
    </row>
    <row r="463" spans="1:8" ht="15.75" hidden="1">
      <c r="A463" s="40" t="s">
        <v>110</v>
      </c>
      <c r="B463" s="43" t="s">
        <v>59</v>
      </c>
      <c r="C463" s="43" t="s">
        <v>52</v>
      </c>
      <c r="D463" s="43" t="s">
        <v>474</v>
      </c>
      <c r="E463" s="43" t="s">
        <v>111</v>
      </c>
      <c r="F463" s="45">
        <v>0</v>
      </c>
      <c r="G463" s="45">
        <v>0</v>
      </c>
      <c r="H463" s="45">
        <v>0</v>
      </c>
    </row>
    <row r="464" spans="1:8" ht="78.75">
      <c r="A464" s="40" t="s">
        <v>702</v>
      </c>
      <c r="B464" s="43" t="s">
        <v>59</v>
      </c>
      <c r="C464" s="43" t="s">
        <v>52</v>
      </c>
      <c r="D464" s="43" t="s">
        <v>155</v>
      </c>
      <c r="E464" s="43"/>
      <c r="F464" s="45">
        <f>F465+F471+F469+F467+F473</f>
        <v>128733.90000000001</v>
      </c>
      <c r="G464" s="45">
        <f>G465+G471+G469+G467+G473</f>
        <v>132577.4</v>
      </c>
      <c r="H464" s="45">
        <f>H465+H471+H469+H467+H473</f>
        <v>137551.2</v>
      </c>
    </row>
    <row r="465" spans="1:8" ht="31.5">
      <c r="A465" s="40" t="s">
        <v>114</v>
      </c>
      <c r="B465" s="43" t="s">
        <v>59</v>
      </c>
      <c r="C465" s="43" t="s">
        <v>52</v>
      </c>
      <c r="D465" s="43" t="s">
        <v>158</v>
      </c>
      <c r="E465" s="43"/>
      <c r="F465" s="45">
        <f>F466</f>
        <v>36131.299999999996</v>
      </c>
      <c r="G465" s="45">
        <f>G466</f>
        <v>34840.799999999996</v>
      </c>
      <c r="H465" s="45">
        <f>H466</f>
        <v>34614.4</v>
      </c>
    </row>
    <row r="466" spans="1:8" ht="15.75">
      <c r="A466" s="40" t="s">
        <v>110</v>
      </c>
      <c r="B466" s="43" t="s">
        <v>59</v>
      </c>
      <c r="C466" s="43" t="s">
        <v>52</v>
      </c>
      <c r="D466" s="43" t="s">
        <v>158</v>
      </c>
      <c r="E466" s="43" t="s">
        <v>111</v>
      </c>
      <c r="F466" s="45">
        <v>36131.299999999996</v>
      </c>
      <c r="G466" s="45">
        <f>34846.7-5.9</f>
        <v>34840.799999999996</v>
      </c>
      <c r="H466" s="45">
        <f>34620.3-5.9</f>
        <v>34614.4</v>
      </c>
    </row>
    <row r="467" spans="1:8" ht="190.5" customHeight="1">
      <c r="A467" s="40" t="s">
        <v>498</v>
      </c>
      <c r="B467" s="43" t="s">
        <v>59</v>
      </c>
      <c r="C467" s="43" t="s">
        <v>52</v>
      </c>
      <c r="D467" s="43" t="s">
        <v>499</v>
      </c>
      <c r="E467" s="43"/>
      <c r="F467" s="45">
        <f>F468</f>
        <v>6378.5</v>
      </c>
      <c r="G467" s="45">
        <f>G468</f>
        <v>6378.5</v>
      </c>
      <c r="H467" s="45">
        <f>H468</f>
        <v>6378.5</v>
      </c>
    </row>
    <row r="468" spans="1:8" ht="15.75">
      <c r="A468" s="40" t="s">
        <v>110</v>
      </c>
      <c r="B468" s="43" t="s">
        <v>59</v>
      </c>
      <c r="C468" s="43" t="s">
        <v>52</v>
      </c>
      <c r="D468" s="43" t="s">
        <v>499</v>
      </c>
      <c r="E468" s="43" t="s">
        <v>111</v>
      </c>
      <c r="F468" s="45">
        <v>6378.5</v>
      </c>
      <c r="G468" s="45">
        <v>6378.5</v>
      </c>
      <c r="H468" s="45">
        <v>6378.5</v>
      </c>
    </row>
    <row r="469" spans="1:8" ht="47.25">
      <c r="A469" s="40" t="s">
        <v>462</v>
      </c>
      <c r="B469" s="43" t="s">
        <v>59</v>
      </c>
      <c r="C469" s="43" t="s">
        <v>52</v>
      </c>
      <c r="D469" s="43" t="s">
        <v>475</v>
      </c>
      <c r="E469" s="43"/>
      <c r="F469" s="45">
        <f>F470</f>
        <v>7179.8</v>
      </c>
      <c r="G469" s="45">
        <f>G470</f>
        <v>7552.6</v>
      </c>
      <c r="H469" s="45">
        <f>H470</f>
        <v>7935.2</v>
      </c>
    </row>
    <row r="470" spans="1:8" ht="15.75">
      <c r="A470" s="40" t="s">
        <v>110</v>
      </c>
      <c r="B470" s="43" t="s">
        <v>59</v>
      </c>
      <c r="C470" s="43" t="s">
        <v>52</v>
      </c>
      <c r="D470" s="43" t="s">
        <v>475</v>
      </c>
      <c r="E470" s="43" t="s">
        <v>111</v>
      </c>
      <c r="F470" s="45">
        <v>7179.8</v>
      </c>
      <c r="G470" s="45">
        <v>7552.6</v>
      </c>
      <c r="H470" s="45">
        <v>7935.2</v>
      </c>
    </row>
    <row r="471" spans="1:8" ht="63">
      <c r="A471" s="40" t="s">
        <v>161</v>
      </c>
      <c r="B471" s="43" t="s">
        <v>59</v>
      </c>
      <c r="C471" s="43" t="s">
        <v>52</v>
      </c>
      <c r="D471" s="43" t="s">
        <v>159</v>
      </c>
      <c r="E471" s="43"/>
      <c r="F471" s="45">
        <f>F472</f>
        <v>79044.3</v>
      </c>
      <c r="G471" s="45">
        <f>G472</f>
        <v>83805.5</v>
      </c>
      <c r="H471" s="45">
        <f>H472</f>
        <v>88623.1</v>
      </c>
    </row>
    <row r="472" spans="1:8" ht="15.75">
      <c r="A472" s="40" t="s">
        <v>110</v>
      </c>
      <c r="B472" s="43" t="s">
        <v>59</v>
      </c>
      <c r="C472" s="43" t="s">
        <v>52</v>
      </c>
      <c r="D472" s="43" t="s">
        <v>159</v>
      </c>
      <c r="E472" s="43" t="s">
        <v>111</v>
      </c>
      <c r="F472" s="45">
        <f>66022.7+10665.1+812.5+1544</f>
        <v>79044.3</v>
      </c>
      <c r="G472" s="45">
        <f>70820.3+10628.7+812.5+1544</f>
        <v>83805.5</v>
      </c>
      <c r="H472" s="45">
        <f>75630.3+10636.3+812.5+1544</f>
        <v>88623.1</v>
      </c>
    </row>
    <row r="473" spans="1:8" ht="78.75" hidden="1">
      <c r="A473" s="40" t="s">
        <v>559</v>
      </c>
      <c r="B473" s="43" t="s">
        <v>59</v>
      </c>
      <c r="C473" s="43" t="s">
        <v>52</v>
      </c>
      <c r="D473" s="43" t="s">
        <v>593</v>
      </c>
      <c r="E473" s="43"/>
      <c r="F473" s="45">
        <f>F474</f>
        <v>0</v>
      </c>
      <c r="G473" s="45"/>
      <c r="H473" s="45"/>
    </row>
    <row r="474" spans="1:8" ht="15.75" hidden="1">
      <c r="A474" s="40" t="s">
        <v>110</v>
      </c>
      <c r="B474" s="43" t="s">
        <v>59</v>
      </c>
      <c r="C474" s="43" t="s">
        <v>52</v>
      </c>
      <c r="D474" s="43" t="s">
        <v>593</v>
      </c>
      <c r="E474" s="43" t="s">
        <v>111</v>
      </c>
      <c r="F474" s="45">
        <v>0</v>
      </c>
      <c r="G474" s="45"/>
      <c r="H474" s="45"/>
    </row>
    <row r="475" spans="1:8" ht="78.75">
      <c r="A475" s="40" t="s">
        <v>162</v>
      </c>
      <c r="B475" s="43" t="s">
        <v>59</v>
      </c>
      <c r="C475" s="43" t="s">
        <v>52</v>
      </c>
      <c r="D475" s="43" t="s">
        <v>164</v>
      </c>
      <c r="E475" s="43"/>
      <c r="F475" s="45">
        <f>F476+F478+F480</f>
        <v>10071.300000000001</v>
      </c>
      <c r="G475" s="45">
        <f>G476+G478+G480</f>
        <v>10485.300000000001</v>
      </c>
      <c r="H475" s="45">
        <f>H476+H478+H480</f>
        <v>10431</v>
      </c>
    </row>
    <row r="476" spans="1:8" ht="94.5">
      <c r="A476" s="40" t="s">
        <v>289</v>
      </c>
      <c r="B476" s="43" t="s">
        <v>59</v>
      </c>
      <c r="C476" s="43" t="s">
        <v>52</v>
      </c>
      <c r="D476" s="43" t="s">
        <v>163</v>
      </c>
      <c r="E476" s="43"/>
      <c r="F476" s="45">
        <f>F477</f>
        <v>2733.1</v>
      </c>
      <c r="G476" s="45">
        <f>G477</f>
        <v>3147.1</v>
      </c>
      <c r="H476" s="45">
        <f>H477</f>
        <v>3147.1</v>
      </c>
    </row>
    <row r="477" spans="1:8" ht="15.75">
      <c r="A477" s="40" t="s">
        <v>110</v>
      </c>
      <c r="B477" s="43" t="s">
        <v>59</v>
      </c>
      <c r="C477" s="43" t="s">
        <v>52</v>
      </c>
      <c r="D477" s="43" t="s">
        <v>163</v>
      </c>
      <c r="E477" s="43" t="s">
        <v>111</v>
      </c>
      <c r="F477" s="45">
        <v>2733.1</v>
      </c>
      <c r="G477" s="45">
        <v>3147.1</v>
      </c>
      <c r="H477" s="45">
        <v>3147.1</v>
      </c>
    </row>
    <row r="478" spans="1:8" ht="63">
      <c r="A478" s="40" t="s">
        <v>494</v>
      </c>
      <c r="B478" s="43" t="s">
        <v>59</v>
      </c>
      <c r="C478" s="43" t="s">
        <v>52</v>
      </c>
      <c r="D478" s="43" t="s">
        <v>497</v>
      </c>
      <c r="E478" s="43"/>
      <c r="F478" s="45">
        <f>F479</f>
        <v>5424</v>
      </c>
      <c r="G478" s="45">
        <f>G479</f>
        <v>5424</v>
      </c>
      <c r="H478" s="45">
        <f>H479</f>
        <v>5369.7</v>
      </c>
    </row>
    <row r="479" spans="1:8" ht="15.75">
      <c r="A479" s="40" t="s">
        <v>110</v>
      </c>
      <c r="B479" s="43" t="s">
        <v>59</v>
      </c>
      <c r="C479" s="43" t="s">
        <v>52</v>
      </c>
      <c r="D479" s="43" t="s">
        <v>497</v>
      </c>
      <c r="E479" s="43" t="s">
        <v>111</v>
      </c>
      <c r="F479" s="45">
        <f>4092.9+1222.6+108.5</f>
        <v>5424</v>
      </c>
      <c r="G479" s="45">
        <f>4092.9+1222.6+108.5</f>
        <v>5424</v>
      </c>
      <c r="H479" s="45">
        <f>5262.3+107.4</f>
        <v>5369.7</v>
      </c>
    </row>
    <row r="480" spans="1:8" ht="94.5">
      <c r="A480" s="40" t="s">
        <v>617</v>
      </c>
      <c r="B480" s="43" t="s">
        <v>59</v>
      </c>
      <c r="C480" s="43" t="s">
        <v>52</v>
      </c>
      <c r="D480" s="43" t="s">
        <v>618</v>
      </c>
      <c r="E480" s="43"/>
      <c r="F480" s="45">
        <f>F481</f>
        <v>1914.2</v>
      </c>
      <c r="G480" s="45">
        <f>G481</f>
        <v>1914.2</v>
      </c>
      <c r="H480" s="45">
        <f>H481</f>
        <v>1914.2</v>
      </c>
    </row>
    <row r="481" spans="1:8" ht="15.75">
      <c r="A481" s="40" t="s">
        <v>110</v>
      </c>
      <c r="B481" s="43" t="s">
        <v>59</v>
      </c>
      <c r="C481" s="43" t="s">
        <v>52</v>
      </c>
      <c r="D481" s="43" t="s">
        <v>618</v>
      </c>
      <c r="E481" s="43" t="s">
        <v>111</v>
      </c>
      <c r="F481" s="45">
        <f>1531.4+382.8</f>
        <v>1914.2</v>
      </c>
      <c r="G481" s="45">
        <f>1531.4+382.8</f>
        <v>1914.2</v>
      </c>
      <c r="H481" s="45">
        <f>1531.4+382.8</f>
        <v>1914.2</v>
      </c>
    </row>
    <row r="482" spans="1:8" ht="47.25">
      <c r="A482" s="40" t="s">
        <v>432</v>
      </c>
      <c r="B482" s="43" t="s">
        <v>59</v>
      </c>
      <c r="C482" s="43" t="s">
        <v>52</v>
      </c>
      <c r="D482" s="43" t="s">
        <v>433</v>
      </c>
      <c r="E482" s="43"/>
      <c r="F482" s="45">
        <f aca="true" t="shared" si="71" ref="F482:H483">F483</f>
        <v>0</v>
      </c>
      <c r="G482" s="45">
        <f t="shared" si="71"/>
        <v>3633.2</v>
      </c>
      <c r="H482" s="45">
        <f t="shared" si="71"/>
        <v>0</v>
      </c>
    </row>
    <row r="483" spans="1:8" ht="73.5" customHeight="1">
      <c r="A483" s="40" t="s">
        <v>955</v>
      </c>
      <c r="B483" s="43" t="s">
        <v>59</v>
      </c>
      <c r="C483" s="43" t="s">
        <v>52</v>
      </c>
      <c r="D483" s="43" t="s">
        <v>956</v>
      </c>
      <c r="E483" s="43"/>
      <c r="F483" s="45">
        <f t="shared" si="71"/>
        <v>0</v>
      </c>
      <c r="G483" s="45">
        <f t="shared" si="71"/>
        <v>3633.2</v>
      </c>
      <c r="H483" s="45">
        <f t="shared" si="71"/>
        <v>0</v>
      </c>
    </row>
    <row r="484" spans="1:8" ht="15.75">
      <c r="A484" s="40" t="s">
        <v>110</v>
      </c>
      <c r="B484" s="43" t="s">
        <v>59</v>
      </c>
      <c r="C484" s="43" t="s">
        <v>52</v>
      </c>
      <c r="D484" s="43" t="s">
        <v>956</v>
      </c>
      <c r="E484" s="43" t="s">
        <v>111</v>
      </c>
      <c r="F484" s="45">
        <v>0</v>
      </c>
      <c r="G484" s="45">
        <f>3478.1+155.1</f>
        <v>3633.2</v>
      </c>
      <c r="H484" s="45">
        <v>0</v>
      </c>
    </row>
    <row r="485" spans="1:8" ht="63">
      <c r="A485" s="40" t="s">
        <v>967</v>
      </c>
      <c r="B485" s="43" t="s">
        <v>59</v>
      </c>
      <c r="C485" s="43" t="s">
        <v>52</v>
      </c>
      <c r="D485" s="43" t="s">
        <v>969</v>
      </c>
      <c r="E485" s="43"/>
      <c r="F485" s="45">
        <f aca="true" t="shared" si="72" ref="F485:H486">F486</f>
        <v>451.4</v>
      </c>
      <c r="G485" s="45">
        <f t="shared" si="72"/>
        <v>451.4</v>
      </c>
      <c r="H485" s="45">
        <f t="shared" si="72"/>
        <v>451.4</v>
      </c>
    </row>
    <row r="486" spans="1:8" ht="63">
      <c r="A486" s="40" t="s">
        <v>968</v>
      </c>
      <c r="B486" s="43" t="s">
        <v>59</v>
      </c>
      <c r="C486" s="43" t="s">
        <v>52</v>
      </c>
      <c r="D486" s="43" t="s">
        <v>970</v>
      </c>
      <c r="E486" s="43"/>
      <c r="F486" s="45">
        <f t="shared" si="72"/>
        <v>451.4</v>
      </c>
      <c r="G486" s="45">
        <f t="shared" si="72"/>
        <v>451.4</v>
      </c>
      <c r="H486" s="45">
        <f t="shared" si="72"/>
        <v>451.4</v>
      </c>
    </row>
    <row r="487" spans="1:8" ht="15.75">
      <c r="A487" s="40" t="s">
        <v>110</v>
      </c>
      <c r="B487" s="43" t="s">
        <v>59</v>
      </c>
      <c r="C487" s="43" t="s">
        <v>52</v>
      </c>
      <c r="D487" s="43" t="s">
        <v>970</v>
      </c>
      <c r="E487" s="43" t="s">
        <v>111</v>
      </c>
      <c r="F487" s="45">
        <v>451.4</v>
      </c>
      <c r="G487" s="45">
        <v>451.4</v>
      </c>
      <c r="H487" s="45">
        <v>451.4</v>
      </c>
    </row>
    <row r="488" spans="1:8" ht="47.25">
      <c r="A488" s="40" t="s">
        <v>713</v>
      </c>
      <c r="B488" s="43" t="s">
        <v>59</v>
      </c>
      <c r="C488" s="43" t="s">
        <v>52</v>
      </c>
      <c r="D488" s="43" t="s">
        <v>374</v>
      </c>
      <c r="E488" s="43"/>
      <c r="F488" s="45">
        <f aca="true" t="shared" si="73" ref="F488:H490">F489</f>
        <v>322.9</v>
      </c>
      <c r="G488" s="45">
        <f t="shared" si="73"/>
        <v>322.9</v>
      </c>
      <c r="H488" s="45">
        <f t="shared" si="73"/>
        <v>322.9</v>
      </c>
    </row>
    <row r="489" spans="1:8" ht="63">
      <c r="A489" s="40" t="s">
        <v>198</v>
      </c>
      <c r="B489" s="43" t="s">
        <v>59</v>
      </c>
      <c r="C489" s="43" t="s">
        <v>52</v>
      </c>
      <c r="D489" s="43" t="s">
        <v>307</v>
      </c>
      <c r="E489" s="43"/>
      <c r="F489" s="45">
        <f t="shared" si="73"/>
        <v>322.9</v>
      </c>
      <c r="G489" s="45">
        <f t="shared" si="73"/>
        <v>322.9</v>
      </c>
      <c r="H489" s="45">
        <f t="shared" si="73"/>
        <v>322.9</v>
      </c>
    </row>
    <row r="490" spans="1:8" ht="31.5">
      <c r="A490" s="40" t="s">
        <v>114</v>
      </c>
      <c r="B490" s="43" t="s">
        <v>59</v>
      </c>
      <c r="C490" s="43" t="s">
        <v>52</v>
      </c>
      <c r="D490" s="43" t="s">
        <v>308</v>
      </c>
      <c r="E490" s="43"/>
      <c r="F490" s="45">
        <f t="shared" si="73"/>
        <v>322.9</v>
      </c>
      <c r="G490" s="45">
        <f t="shared" si="73"/>
        <v>322.9</v>
      </c>
      <c r="H490" s="45">
        <f t="shared" si="73"/>
        <v>322.9</v>
      </c>
    </row>
    <row r="491" spans="1:8" ht="15.75">
      <c r="A491" s="40" t="s">
        <v>110</v>
      </c>
      <c r="B491" s="43" t="s">
        <v>59</v>
      </c>
      <c r="C491" s="43" t="s">
        <v>52</v>
      </c>
      <c r="D491" s="43" t="s">
        <v>308</v>
      </c>
      <c r="E491" s="43" t="s">
        <v>111</v>
      </c>
      <c r="F491" s="45">
        <v>322.9</v>
      </c>
      <c r="G491" s="45">
        <v>322.9</v>
      </c>
      <c r="H491" s="45">
        <v>322.9</v>
      </c>
    </row>
    <row r="492" spans="1:8" ht="63" hidden="1">
      <c r="A492" s="40" t="s">
        <v>789</v>
      </c>
      <c r="B492" s="43" t="s">
        <v>59</v>
      </c>
      <c r="C492" s="43" t="s">
        <v>52</v>
      </c>
      <c r="D492" s="43" t="s">
        <v>484</v>
      </c>
      <c r="E492" s="43"/>
      <c r="F492" s="59">
        <f aca="true" t="shared" si="74" ref="F492:G494">F493</f>
        <v>0</v>
      </c>
      <c r="G492" s="59">
        <f t="shared" si="74"/>
        <v>0</v>
      </c>
      <c r="H492" s="59">
        <f>H493</f>
        <v>0</v>
      </c>
    </row>
    <row r="493" spans="1:8" ht="31.5" hidden="1">
      <c r="A493" s="124" t="s">
        <v>567</v>
      </c>
      <c r="B493" s="43" t="s">
        <v>59</v>
      </c>
      <c r="C493" s="43" t="s">
        <v>52</v>
      </c>
      <c r="D493" s="43" t="s">
        <v>555</v>
      </c>
      <c r="E493" s="43"/>
      <c r="F493" s="59">
        <f t="shared" si="74"/>
        <v>0</v>
      </c>
      <c r="G493" s="59">
        <f t="shared" si="74"/>
        <v>0</v>
      </c>
      <c r="H493" s="59">
        <f>H494</f>
        <v>0</v>
      </c>
    </row>
    <row r="494" spans="1:8" ht="47.25" hidden="1">
      <c r="A494" s="40" t="s">
        <v>568</v>
      </c>
      <c r="B494" s="43" t="s">
        <v>59</v>
      </c>
      <c r="C494" s="43" t="s">
        <v>52</v>
      </c>
      <c r="D494" s="43" t="s">
        <v>569</v>
      </c>
      <c r="E494" s="43"/>
      <c r="F494" s="59">
        <f t="shared" si="74"/>
        <v>0</v>
      </c>
      <c r="G494" s="59">
        <f t="shared" si="74"/>
        <v>0</v>
      </c>
      <c r="H494" s="59">
        <f>H495</f>
        <v>0</v>
      </c>
    </row>
    <row r="495" spans="1:8" ht="15.75" hidden="1">
      <c r="A495" s="40" t="s">
        <v>420</v>
      </c>
      <c r="B495" s="43" t="s">
        <v>59</v>
      </c>
      <c r="C495" s="43" t="s">
        <v>52</v>
      </c>
      <c r="D495" s="43" t="s">
        <v>569</v>
      </c>
      <c r="E495" s="43" t="s">
        <v>419</v>
      </c>
      <c r="F495" s="59">
        <v>0</v>
      </c>
      <c r="G495" s="59">
        <v>0</v>
      </c>
      <c r="H495" s="94">
        <v>0</v>
      </c>
    </row>
    <row r="496" spans="1:8" ht="15.75">
      <c r="A496" s="40" t="s">
        <v>347</v>
      </c>
      <c r="B496" s="43" t="s">
        <v>59</v>
      </c>
      <c r="C496" s="43" t="s">
        <v>54</v>
      </c>
      <c r="D496" s="43"/>
      <c r="E496" s="43"/>
      <c r="F496" s="45">
        <f>F497+F515</f>
        <v>28912.5</v>
      </c>
      <c r="G496" s="45">
        <f>G497+G515</f>
        <v>24117.9</v>
      </c>
      <c r="H496" s="45">
        <f>H497+H515</f>
        <v>24117.9</v>
      </c>
    </row>
    <row r="497" spans="1:8" ht="47.25">
      <c r="A497" s="40" t="s">
        <v>932</v>
      </c>
      <c r="B497" s="43" t="s">
        <v>59</v>
      </c>
      <c r="C497" s="43" t="s">
        <v>54</v>
      </c>
      <c r="D497" s="43" t="s">
        <v>369</v>
      </c>
      <c r="E497" s="43"/>
      <c r="F497" s="45">
        <f>F511+F498</f>
        <v>21885.1</v>
      </c>
      <c r="G497" s="45">
        <f>G511+G498</f>
        <v>17090.5</v>
      </c>
      <c r="H497" s="45">
        <f>H511+H498</f>
        <v>17090.5</v>
      </c>
    </row>
    <row r="498" spans="1:8" ht="31.5">
      <c r="A498" s="40" t="s">
        <v>112</v>
      </c>
      <c r="B498" s="43" t="s">
        <v>59</v>
      </c>
      <c r="C498" s="43" t="s">
        <v>54</v>
      </c>
      <c r="D498" s="43" t="s">
        <v>156</v>
      </c>
      <c r="E498" s="43"/>
      <c r="F498" s="45">
        <f>F499+F506</f>
        <v>21855.1</v>
      </c>
      <c r="G498" s="45">
        <f>G499+G506</f>
        <v>17060.5</v>
      </c>
      <c r="H498" s="45">
        <f>H499+H506</f>
        <v>17060.5</v>
      </c>
    </row>
    <row r="499" spans="1:8" ht="78.75">
      <c r="A499" s="40" t="s">
        <v>702</v>
      </c>
      <c r="B499" s="43" t="s">
        <v>59</v>
      </c>
      <c r="C499" s="43" t="s">
        <v>54</v>
      </c>
      <c r="D499" s="43" t="s">
        <v>155</v>
      </c>
      <c r="E499" s="43"/>
      <c r="F499" s="45">
        <f>F500+F502+F504</f>
        <v>20197.8</v>
      </c>
      <c r="G499" s="45">
        <f>G500+G502</f>
        <v>12595.1</v>
      </c>
      <c r="H499" s="45">
        <f>H500+H502</f>
        <v>12595.1</v>
      </c>
    </row>
    <row r="500" spans="1:8" ht="15.75">
      <c r="A500" s="40" t="s">
        <v>113</v>
      </c>
      <c r="B500" s="43" t="s">
        <v>59</v>
      </c>
      <c r="C500" s="43" t="s">
        <v>54</v>
      </c>
      <c r="D500" s="43" t="s">
        <v>157</v>
      </c>
      <c r="E500" s="43"/>
      <c r="F500" s="45">
        <f>F501</f>
        <v>12134</v>
      </c>
      <c r="G500" s="45">
        <f>G501</f>
        <v>10294.7</v>
      </c>
      <c r="H500" s="45">
        <f>H501</f>
        <v>10178.2</v>
      </c>
    </row>
    <row r="501" spans="1:8" ht="15.75">
      <c r="A501" s="40" t="s">
        <v>110</v>
      </c>
      <c r="B501" s="43" t="s">
        <v>59</v>
      </c>
      <c r="C501" s="43" t="s">
        <v>54</v>
      </c>
      <c r="D501" s="43" t="s">
        <v>157</v>
      </c>
      <c r="E501" s="43" t="s">
        <v>111</v>
      </c>
      <c r="F501" s="45">
        <v>12134</v>
      </c>
      <c r="G501" s="45">
        <v>10294.7</v>
      </c>
      <c r="H501" s="45">
        <v>10178.2</v>
      </c>
    </row>
    <row r="502" spans="1:8" ht="47.25">
      <c r="A502" s="40" t="s">
        <v>462</v>
      </c>
      <c r="B502" s="43" t="s">
        <v>59</v>
      </c>
      <c r="C502" s="43" t="s">
        <v>54</v>
      </c>
      <c r="D502" s="43" t="s">
        <v>475</v>
      </c>
      <c r="E502" s="43"/>
      <c r="F502" s="45">
        <f>F503</f>
        <v>2187.4</v>
      </c>
      <c r="G502" s="45">
        <f>G503</f>
        <v>2300.4</v>
      </c>
      <c r="H502" s="45">
        <f>H503</f>
        <v>2416.9</v>
      </c>
    </row>
    <row r="503" spans="1:8" ht="15.75">
      <c r="A503" s="40" t="s">
        <v>110</v>
      </c>
      <c r="B503" s="43" t="s">
        <v>59</v>
      </c>
      <c r="C503" s="43" t="s">
        <v>54</v>
      </c>
      <c r="D503" s="43" t="s">
        <v>475</v>
      </c>
      <c r="E503" s="43" t="s">
        <v>111</v>
      </c>
      <c r="F503" s="45">
        <v>2187.4</v>
      </c>
      <c r="G503" s="45">
        <v>2300.4</v>
      </c>
      <c r="H503" s="45">
        <v>2416.9</v>
      </c>
    </row>
    <row r="504" spans="1:8" ht="63">
      <c r="A504" s="40" t="s">
        <v>1025</v>
      </c>
      <c r="B504" s="43" t="s">
        <v>59</v>
      </c>
      <c r="C504" s="43" t="s">
        <v>54</v>
      </c>
      <c r="D504" s="43" t="s">
        <v>994</v>
      </c>
      <c r="E504" s="43"/>
      <c r="F504" s="45">
        <f>F505</f>
        <v>5876.400000000001</v>
      </c>
      <c r="G504" s="45">
        <f>G505</f>
        <v>0</v>
      </c>
      <c r="H504" s="45">
        <f>H505</f>
        <v>0</v>
      </c>
    </row>
    <row r="505" spans="1:8" ht="15.75">
      <c r="A505" s="40" t="s">
        <v>110</v>
      </c>
      <c r="B505" s="43" t="s">
        <v>59</v>
      </c>
      <c r="C505" s="43" t="s">
        <v>54</v>
      </c>
      <c r="D505" s="43" t="s">
        <v>994</v>
      </c>
      <c r="E505" s="43" t="s">
        <v>111</v>
      </c>
      <c r="F505" s="45">
        <f>5817.6+58.8</f>
        <v>5876.400000000001</v>
      </c>
      <c r="G505" s="45">
        <v>0</v>
      </c>
      <c r="H505" s="45">
        <v>0</v>
      </c>
    </row>
    <row r="506" spans="1:8" ht="63">
      <c r="A506" s="40" t="s">
        <v>385</v>
      </c>
      <c r="B506" s="43" t="s">
        <v>59</v>
      </c>
      <c r="C506" s="43" t="s">
        <v>54</v>
      </c>
      <c r="D506" s="43" t="s">
        <v>386</v>
      </c>
      <c r="E506" s="43"/>
      <c r="F506" s="45">
        <f>F507+F509</f>
        <v>1657.3000000000002</v>
      </c>
      <c r="G506" s="45">
        <f>G507+G509</f>
        <v>4465.4</v>
      </c>
      <c r="H506" s="45">
        <f>H507+H509</f>
        <v>4465.4</v>
      </c>
    </row>
    <row r="507" spans="1:8" ht="31.5">
      <c r="A507" s="37" t="s">
        <v>218</v>
      </c>
      <c r="B507" s="43" t="s">
        <v>59</v>
      </c>
      <c r="C507" s="43" t="s">
        <v>54</v>
      </c>
      <c r="D507" s="43" t="s">
        <v>388</v>
      </c>
      <c r="E507" s="43"/>
      <c r="F507" s="45">
        <f>F508</f>
        <v>122.4</v>
      </c>
      <c r="G507" s="45">
        <f>G508</f>
        <v>122.4</v>
      </c>
      <c r="H507" s="45">
        <f>H508</f>
        <v>122.4</v>
      </c>
    </row>
    <row r="508" spans="1:8" ht="47.25">
      <c r="A508" s="40" t="s">
        <v>147</v>
      </c>
      <c r="B508" s="43" t="s">
        <v>59</v>
      </c>
      <c r="C508" s="43" t="s">
        <v>54</v>
      </c>
      <c r="D508" s="43" t="s">
        <v>388</v>
      </c>
      <c r="E508" s="43" t="s">
        <v>219</v>
      </c>
      <c r="F508" s="45">
        <v>122.4</v>
      </c>
      <c r="G508" s="45">
        <v>122.4</v>
      </c>
      <c r="H508" s="45">
        <v>122.4</v>
      </c>
    </row>
    <row r="509" spans="1:8" ht="51" customHeight="1">
      <c r="A509" s="40" t="s">
        <v>387</v>
      </c>
      <c r="B509" s="43" t="s">
        <v>59</v>
      </c>
      <c r="C509" s="43" t="s">
        <v>54</v>
      </c>
      <c r="D509" s="43" t="s">
        <v>389</v>
      </c>
      <c r="E509" s="43"/>
      <c r="F509" s="45">
        <f>F510</f>
        <v>1534.9</v>
      </c>
      <c r="G509" s="45">
        <f>G510</f>
        <v>4343</v>
      </c>
      <c r="H509" s="45">
        <f>H510</f>
        <v>4343</v>
      </c>
    </row>
    <row r="510" spans="1:8" ht="47.25">
      <c r="A510" s="40" t="s">
        <v>147</v>
      </c>
      <c r="B510" s="43" t="s">
        <v>59</v>
      </c>
      <c r="C510" s="43" t="s">
        <v>54</v>
      </c>
      <c r="D510" s="43" t="s">
        <v>389</v>
      </c>
      <c r="E510" s="43" t="s">
        <v>219</v>
      </c>
      <c r="F510" s="45">
        <v>1534.9</v>
      </c>
      <c r="G510" s="45">
        <v>4343</v>
      </c>
      <c r="H510" s="45">
        <v>4343</v>
      </c>
    </row>
    <row r="511" spans="1:8" ht="15.75">
      <c r="A511" s="124" t="s">
        <v>121</v>
      </c>
      <c r="B511" s="43" t="s">
        <v>59</v>
      </c>
      <c r="C511" s="43" t="s">
        <v>54</v>
      </c>
      <c r="D511" s="44" t="s">
        <v>350</v>
      </c>
      <c r="E511" s="43"/>
      <c r="F511" s="45">
        <f aca="true" t="shared" si="75" ref="F511:H513">F512</f>
        <v>30</v>
      </c>
      <c r="G511" s="45">
        <f t="shared" si="75"/>
        <v>30</v>
      </c>
      <c r="H511" s="45">
        <f t="shared" si="75"/>
        <v>30</v>
      </c>
    </row>
    <row r="512" spans="1:8" ht="31.5">
      <c r="A512" s="40" t="s">
        <v>199</v>
      </c>
      <c r="B512" s="43" t="s">
        <v>59</v>
      </c>
      <c r="C512" s="43" t="s">
        <v>54</v>
      </c>
      <c r="D512" s="44" t="s">
        <v>351</v>
      </c>
      <c r="E512" s="43"/>
      <c r="F512" s="45">
        <f t="shared" si="75"/>
        <v>30</v>
      </c>
      <c r="G512" s="45">
        <f t="shared" si="75"/>
        <v>30</v>
      </c>
      <c r="H512" s="45">
        <f t="shared" si="75"/>
        <v>30</v>
      </c>
    </row>
    <row r="513" spans="1:8" ht="15.75">
      <c r="A513" s="40" t="s">
        <v>113</v>
      </c>
      <c r="B513" s="43" t="s">
        <v>59</v>
      </c>
      <c r="C513" s="43" t="s">
        <v>54</v>
      </c>
      <c r="D513" s="44" t="s">
        <v>709</v>
      </c>
      <c r="E513" s="43"/>
      <c r="F513" s="45">
        <f t="shared" si="75"/>
        <v>30</v>
      </c>
      <c r="G513" s="45">
        <f t="shared" si="75"/>
        <v>30</v>
      </c>
      <c r="H513" s="45">
        <f t="shared" si="75"/>
        <v>30</v>
      </c>
    </row>
    <row r="514" spans="1:8" ht="15.75">
      <c r="A514" s="40" t="s">
        <v>110</v>
      </c>
      <c r="B514" s="43" t="s">
        <v>59</v>
      </c>
      <c r="C514" s="43" t="s">
        <v>54</v>
      </c>
      <c r="D514" s="44" t="s">
        <v>709</v>
      </c>
      <c r="E514" s="43" t="s">
        <v>111</v>
      </c>
      <c r="F514" s="45">
        <v>30</v>
      </c>
      <c r="G514" s="45">
        <v>30</v>
      </c>
      <c r="H514" s="45">
        <v>30</v>
      </c>
    </row>
    <row r="515" spans="1:8" ht="63">
      <c r="A515" s="40" t="s">
        <v>724</v>
      </c>
      <c r="B515" s="43" t="s">
        <v>59</v>
      </c>
      <c r="C515" s="43" t="s">
        <v>54</v>
      </c>
      <c r="D515" s="43" t="s">
        <v>174</v>
      </c>
      <c r="E515" s="43"/>
      <c r="F515" s="45">
        <f aca="true" t="shared" si="76" ref="F515:H518">F516</f>
        <v>7027.4</v>
      </c>
      <c r="G515" s="45">
        <f t="shared" si="76"/>
        <v>7027.4</v>
      </c>
      <c r="H515" s="45">
        <f t="shared" si="76"/>
        <v>7027.4</v>
      </c>
    </row>
    <row r="516" spans="1:8" ht="31.5">
      <c r="A516" s="40" t="s">
        <v>290</v>
      </c>
      <c r="B516" s="43" t="s">
        <v>59</v>
      </c>
      <c r="C516" s="43" t="s">
        <v>54</v>
      </c>
      <c r="D516" s="43" t="s">
        <v>175</v>
      </c>
      <c r="E516" s="43"/>
      <c r="F516" s="45">
        <f>F517</f>
        <v>7027.4</v>
      </c>
      <c r="G516" s="45">
        <f t="shared" si="76"/>
        <v>7027.4</v>
      </c>
      <c r="H516" s="45">
        <f t="shared" si="76"/>
        <v>7027.4</v>
      </c>
    </row>
    <row r="517" spans="1:8" ht="47.25">
      <c r="A517" s="40" t="s">
        <v>172</v>
      </c>
      <c r="B517" s="43" t="s">
        <v>59</v>
      </c>
      <c r="C517" s="43" t="s">
        <v>54</v>
      </c>
      <c r="D517" s="43" t="s">
        <v>173</v>
      </c>
      <c r="E517" s="43"/>
      <c r="F517" s="45">
        <f>F518+F520</f>
        <v>7027.4</v>
      </c>
      <c r="G517" s="45">
        <f>G518+G520</f>
        <v>7027.4</v>
      </c>
      <c r="H517" s="45">
        <f>H518+H520</f>
        <v>7027.4</v>
      </c>
    </row>
    <row r="518" spans="1:8" ht="15.75">
      <c r="A518" s="40" t="s">
        <v>113</v>
      </c>
      <c r="B518" s="43" t="s">
        <v>59</v>
      </c>
      <c r="C518" s="43" t="s">
        <v>54</v>
      </c>
      <c r="D518" s="43" t="s">
        <v>176</v>
      </c>
      <c r="E518" s="43"/>
      <c r="F518" s="45">
        <f t="shared" si="76"/>
        <v>5207.299999999999</v>
      </c>
      <c r="G518" s="45">
        <f t="shared" si="76"/>
        <v>5022.5</v>
      </c>
      <c r="H518" s="45">
        <f t="shared" si="76"/>
        <v>4833.4</v>
      </c>
    </row>
    <row r="519" spans="1:8" ht="15.75">
      <c r="A519" s="40" t="s">
        <v>110</v>
      </c>
      <c r="B519" s="43" t="s">
        <v>59</v>
      </c>
      <c r="C519" s="43" t="s">
        <v>54</v>
      </c>
      <c r="D519" s="43" t="s">
        <v>176</v>
      </c>
      <c r="E519" s="43" t="s">
        <v>111</v>
      </c>
      <c r="F519" s="45">
        <f>7027.4-1820.1</f>
        <v>5207.299999999999</v>
      </c>
      <c r="G519" s="45">
        <f>7027.4-2004.9</f>
        <v>5022.5</v>
      </c>
      <c r="H519" s="45">
        <f>7027.4-2194</f>
        <v>4833.4</v>
      </c>
    </row>
    <row r="520" spans="1:8" ht="47.25">
      <c r="A520" s="40" t="s">
        <v>462</v>
      </c>
      <c r="B520" s="43" t="s">
        <v>59</v>
      </c>
      <c r="C520" s="43" t="s">
        <v>54</v>
      </c>
      <c r="D520" s="43" t="s">
        <v>464</v>
      </c>
      <c r="E520" s="43"/>
      <c r="F520" s="59">
        <f>F521</f>
        <v>1820.1</v>
      </c>
      <c r="G520" s="59">
        <f>G521</f>
        <v>2004.9</v>
      </c>
      <c r="H520" s="59">
        <f>H521</f>
        <v>2194</v>
      </c>
    </row>
    <row r="521" spans="1:8" ht="15.75">
      <c r="A521" s="40" t="s">
        <v>110</v>
      </c>
      <c r="B521" s="43" t="s">
        <v>59</v>
      </c>
      <c r="C521" s="43" t="s">
        <v>54</v>
      </c>
      <c r="D521" s="43" t="s">
        <v>464</v>
      </c>
      <c r="E521" s="43" t="s">
        <v>111</v>
      </c>
      <c r="F521" s="94">
        <v>1820.1</v>
      </c>
      <c r="G521" s="94">
        <v>2004.9</v>
      </c>
      <c r="H521" s="94">
        <v>2194</v>
      </c>
    </row>
    <row r="522" spans="1:8" ht="31.5">
      <c r="A522" s="40" t="s">
        <v>520</v>
      </c>
      <c r="B522" s="43" t="s">
        <v>59</v>
      </c>
      <c r="C522" s="43" t="s">
        <v>69</v>
      </c>
      <c r="D522" s="43"/>
      <c r="E522" s="43"/>
      <c r="F522" s="59">
        <f>F528+F523</f>
        <v>258.6</v>
      </c>
      <c r="G522" s="59">
        <f>G528</f>
        <v>230</v>
      </c>
      <c r="H522" s="59">
        <f>H528</f>
        <v>230</v>
      </c>
    </row>
    <row r="523" spans="1:8" ht="47.25">
      <c r="A523" s="40" t="s">
        <v>932</v>
      </c>
      <c r="B523" s="43" t="s">
        <v>59</v>
      </c>
      <c r="C523" s="43" t="s">
        <v>69</v>
      </c>
      <c r="D523" s="43" t="s">
        <v>369</v>
      </c>
      <c r="E523" s="43"/>
      <c r="F523" s="45">
        <f>F524</f>
        <v>3.6</v>
      </c>
      <c r="G523" s="45"/>
      <c r="H523" s="45"/>
    </row>
    <row r="524" spans="1:8" ht="31.5">
      <c r="A524" s="40" t="s">
        <v>112</v>
      </c>
      <c r="B524" s="43" t="s">
        <v>59</v>
      </c>
      <c r="C524" s="43" t="s">
        <v>69</v>
      </c>
      <c r="D524" s="43" t="s">
        <v>156</v>
      </c>
      <c r="E524" s="43"/>
      <c r="F524" s="45">
        <f>F525</f>
        <v>3.6</v>
      </c>
      <c r="G524" s="45"/>
      <c r="H524" s="45"/>
    </row>
    <row r="525" spans="1:8" ht="78.75">
      <c r="A525" s="40" t="s">
        <v>702</v>
      </c>
      <c r="B525" s="43" t="s">
        <v>59</v>
      </c>
      <c r="C525" s="43" t="s">
        <v>69</v>
      </c>
      <c r="D525" s="43" t="s">
        <v>155</v>
      </c>
      <c r="E525" s="43"/>
      <c r="F525" s="45">
        <f>F526</f>
        <v>3.6</v>
      </c>
      <c r="G525" s="45"/>
      <c r="H525" s="45"/>
    </row>
    <row r="526" spans="1:8" ht="31.5">
      <c r="A526" s="40" t="s">
        <v>114</v>
      </c>
      <c r="B526" s="43" t="s">
        <v>59</v>
      </c>
      <c r="C526" s="43" t="s">
        <v>69</v>
      </c>
      <c r="D526" s="43" t="s">
        <v>158</v>
      </c>
      <c r="E526" s="43"/>
      <c r="F526" s="45">
        <f>F527</f>
        <v>3.6</v>
      </c>
      <c r="G526" s="45"/>
      <c r="H526" s="45"/>
    </row>
    <row r="527" spans="1:8" ht="15.75">
      <c r="A527" s="40" t="s">
        <v>110</v>
      </c>
      <c r="B527" s="43" t="s">
        <v>59</v>
      </c>
      <c r="C527" s="43" t="s">
        <v>69</v>
      </c>
      <c r="D527" s="43" t="s">
        <v>158</v>
      </c>
      <c r="E527" s="43" t="s">
        <v>111</v>
      </c>
      <c r="F527" s="45">
        <v>3.6</v>
      </c>
      <c r="G527" s="45"/>
      <c r="H527" s="45"/>
    </row>
    <row r="528" spans="1:8" ht="63">
      <c r="A528" s="40" t="s">
        <v>687</v>
      </c>
      <c r="B528" s="43" t="s">
        <v>59</v>
      </c>
      <c r="C528" s="43" t="s">
        <v>69</v>
      </c>
      <c r="D528" s="43" t="s">
        <v>566</v>
      </c>
      <c r="E528" s="43"/>
      <c r="F528" s="59">
        <f>F529+F533+F537+F545+F541+F549</f>
        <v>255</v>
      </c>
      <c r="G528" s="59">
        <f>G529+G533+G537+G545+G541+G549</f>
        <v>230</v>
      </c>
      <c r="H528" s="59">
        <f>H529+H533+H537+H545+H541+H549</f>
        <v>230</v>
      </c>
    </row>
    <row r="529" spans="1:8" ht="47.25">
      <c r="A529" s="40" t="s">
        <v>688</v>
      </c>
      <c r="B529" s="43" t="s">
        <v>59</v>
      </c>
      <c r="C529" s="43" t="s">
        <v>69</v>
      </c>
      <c r="D529" s="43" t="s">
        <v>578</v>
      </c>
      <c r="E529" s="43"/>
      <c r="F529" s="45">
        <f aca="true" t="shared" si="77" ref="F529:H531">F530</f>
        <v>100</v>
      </c>
      <c r="G529" s="45">
        <f t="shared" si="77"/>
        <v>100</v>
      </c>
      <c r="H529" s="45">
        <f t="shared" si="77"/>
        <v>100</v>
      </c>
    </row>
    <row r="530" spans="1:8" ht="47.25">
      <c r="A530" s="40" t="s">
        <v>689</v>
      </c>
      <c r="B530" s="43" t="s">
        <v>59</v>
      </c>
      <c r="C530" s="43" t="s">
        <v>69</v>
      </c>
      <c r="D530" s="43" t="s">
        <v>582</v>
      </c>
      <c r="E530" s="43"/>
      <c r="F530" s="45">
        <f t="shared" si="77"/>
        <v>100</v>
      </c>
      <c r="G530" s="45">
        <f t="shared" si="77"/>
        <v>100</v>
      </c>
      <c r="H530" s="45">
        <f t="shared" si="77"/>
        <v>100</v>
      </c>
    </row>
    <row r="531" spans="1:8" ht="31.5">
      <c r="A531" s="40" t="s">
        <v>95</v>
      </c>
      <c r="B531" s="43" t="s">
        <v>59</v>
      </c>
      <c r="C531" s="43" t="s">
        <v>69</v>
      </c>
      <c r="D531" s="43" t="s">
        <v>581</v>
      </c>
      <c r="E531" s="43"/>
      <c r="F531" s="45">
        <f t="shared" si="77"/>
        <v>100</v>
      </c>
      <c r="G531" s="45">
        <f t="shared" si="77"/>
        <v>100</v>
      </c>
      <c r="H531" s="45">
        <f t="shared" si="77"/>
        <v>100</v>
      </c>
    </row>
    <row r="532" spans="1:8" ht="47.25">
      <c r="A532" s="40" t="s">
        <v>20</v>
      </c>
      <c r="B532" s="43" t="s">
        <v>59</v>
      </c>
      <c r="C532" s="43" t="s">
        <v>69</v>
      </c>
      <c r="D532" s="43" t="s">
        <v>581</v>
      </c>
      <c r="E532" s="43" t="s">
        <v>100</v>
      </c>
      <c r="F532" s="94">
        <v>100</v>
      </c>
      <c r="G532" s="94">
        <v>100</v>
      </c>
      <c r="H532" s="94">
        <v>100</v>
      </c>
    </row>
    <row r="533" spans="1:8" ht="47.25">
      <c r="A533" s="40" t="s">
        <v>690</v>
      </c>
      <c r="B533" s="43" t="s">
        <v>59</v>
      </c>
      <c r="C533" s="43" t="s">
        <v>69</v>
      </c>
      <c r="D533" s="43" t="s">
        <v>579</v>
      </c>
      <c r="E533" s="43"/>
      <c r="F533" s="59">
        <f>F534</f>
        <v>10</v>
      </c>
      <c r="G533" s="59">
        <f aca="true" t="shared" si="78" ref="G533:H535">G534</f>
        <v>10</v>
      </c>
      <c r="H533" s="59">
        <f t="shared" si="78"/>
        <v>10</v>
      </c>
    </row>
    <row r="534" spans="1:8" ht="53.25" customHeight="1">
      <c r="A534" s="40" t="s">
        <v>691</v>
      </c>
      <c r="B534" s="43" t="s">
        <v>59</v>
      </c>
      <c r="C534" s="43" t="s">
        <v>69</v>
      </c>
      <c r="D534" s="43" t="s">
        <v>586</v>
      </c>
      <c r="E534" s="43"/>
      <c r="F534" s="59">
        <f>F535</f>
        <v>10</v>
      </c>
      <c r="G534" s="59">
        <f t="shared" si="78"/>
        <v>10</v>
      </c>
      <c r="H534" s="59">
        <f t="shared" si="78"/>
        <v>10</v>
      </c>
    </row>
    <row r="535" spans="1:8" ht="31.5">
      <c r="A535" s="40" t="s">
        <v>99</v>
      </c>
      <c r="B535" s="43" t="s">
        <v>59</v>
      </c>
      <c r="C535" s="43" t="s">
        <v>69</v>
      </c>
      <c r="D535" s="43" t="s">
        <v>591</v>
      </c>
      <c r="E535" s="43"/>
      <c r="F535" s="59">
        <f>F536</f>
        <v>10</v>
      </c>
      <c r="G535" s="59">
        <f t="shared" si="78"/>
        <v>10</v>
      </c>
      <c r="H535" s="59">
        <f t="shared" si="78"/>
        <v>10</v>
      </c>
    </row>
    <row r="536" spans="1:8" ht="47.25">
      <c r="A536" s="40" t="s">
        <v>20</v>
      </c>
      <c r="B536" s="43" t="s">
        <v>59</v>
      </c>
      <c r="C536" s="43" t="s">
        <v>69</v>
      </c>
      <c r="D536" s="43" t="s">
        <v>591</v>
      </c>
      <c r="E536" s="43" t="s">
        <v>100</v>
      </c>
      <c r="F536" s="59">
        <v>10</v>
      </c>
      <c r="G536" s="59">
        <v>10</v>
      </c>
      <c r="H536" s="59">
        <v>10</v>
      </c>
    </row>
    <row r="537" spans="1:8" ht="54" customHeight="1">
      <c r="A537" s="40" t="s">
        <v>695</v>
      </c>
      <c r="B537" s="43" t="s">
        <v>59</v>
      </c>
      <c r="C537" s="43" t="s">
        <v>69</v>
      </c>
      <c r="D537" s="43" t="s">
        <v>605</v>
      </c>
      <c r="E537" s="43"/>
      <c r="F537" s="59">
        <f aca="true" t="shared" si="79" ref="F537:H539">F538</f>
        <v>10</v>
      </c>
      <c r="G537" s="59">
        <f t="shared" si="79"/>
        <v>10</v>
      </c>
      <c r="H537" s="59">
        <f t="shared" si="79"/>
        <v>10</v>
      </c>
    </row>
    <row r="538" spans="1:8" ht="47.25">
      <c r="A538" s="40" t="s">
        <v>696</v>
      </c>
      <c r="B538" s="43" t="s">
        <v>59</v>
      </c>
      <c r="C538" s="43" t="s">
        <v>69</v>
      </c>
      <c r="D538" s="43" t="s">
        <v>606</v>
      </c>
      <c r="E538" s="43"/>
      <c r="F538" s="59">
        <f t="shared" si="79"/>
        <v>10</v>
      </c>
      <c r="G538" s="59">
        <f t="shared" si="79"/>
        <v>10</v>
      </c>
      <c r="H538" s="59">
        <f t="shared" si="79"/>
        <v>10</v>
      </c>
    </row>
    <row r="539" spans="1:8" ht="31.5">
      <c r="A539" s="40" t="s">
        <v>99</v>
      </c>
      <c r="B539" s="43" t="s">
        <v>59</v>
      </c>
      <c r="C539" s="43" t="s">
        <v>69</v>
      </c>
      <c r="D539" s="43" t="s">
        <v>607</v>
      </c>
      <c r="E539" s="43"/>
      <c r="F539" s="59">
        <f t="shared" si="79"/>
        <v>10</v>
      </c>
      <c r="G539" s="59">
        <f>G540</f>
        <v>10</v>
      </c>
      <c r="H539" s="59">
        <f>H540</f>
        <v>10</v>
      </c>
    </row>
    <row r="540" spans="1:8" ht="54" customHeight="1">
      <c r="A540" s="40" t="s">
        <v>20</v>
      </c>
      <c r="B540" s="43" t="s">
        <v>59</v>
      </c>
      <c r="C540" s="43" t="s">
        <v>69</v>
      </c>
      <c r="D540" s="43" t="s">
        <v>607</v>
      </c>
      <c r="E540" s="155" t="s">
        <v>100</v>
      </c>
      <c r="F540" s="171">
        <v>10</v>
      </c>
      <c r="G540" s="171">
        <v>10</v>
      </c>
      <c r="H540" s="171">
        <v>10</v>
      </c>
    </row>
    <row r="541" spans="1:8" ht="54" customHeight="1">
      <c r="A541" s="40" t="s">
        <v>697</v>
      </c>
      <c r="B541" s="43" t="s">
        <v>59</v>
      </c>
      <c r="C541" s="43" t="s">
        <v>69</v>
      </c>
      <c r="D541" s="43" t="s">
        <v>669</v>
      </c>
      <c r="E541" s="74"/>
      <c r="F541" s="94">
        <f>F542</f>
        <v>20</v>
      </c>
      <c r="G541" s="94"/>
      <c r="H541" s="94"/>
    </row>
    <row r="542" spans="1:8" ht="54" customHeight="1">
      <c r="A542" s="40" t="s">
        <v>670</v>
      </c>
      <c r="B542" s="43" t="s">
        <v>59</v>
      </c>
      <c r="C542" s="43" t="s">
        <v>69</v>
      </c>
      <c r="D542" s="43" t="s">
        <v>671</v>
      </c>
      <c r="E542" s="74"/>
      <c r="F542" s="94">
        <f>F543</f>
        <v>20</v>
      </c>
      <c r="G542" s="94"/>
      <c r="H542" s="94"/>
    </row>
    <row r="543" spans="1:8" ht="31.5">
      <c r="A543" s="40" t="s">
        <v>95</v>
      </c>
      <c r="B543" s="43" t="s">
        <v>59</v>
      </c>
      <c r="C543" s="43" t="s">
        <v>69</v>
      </c>
      <c r="D543" s="43" t="s">
        <v>672</v>
      </c>
      <c r="E543" s="43"/>
      <c r="F543" s="94">
        <f>F544</f>
        <v>20</v>
      </c>
      <c r="G543" s="94"/>
      <c r="H543" s="94"/>
    </row>
    <row r="544" spans="1:8" ht="54" customHeight="1">
      <c r="A544" s="40" t="s">
        <v>20</v>
      </c>
      <c r="B544" s="43" t="s">
        <v>59</v>
      </c>
      <c r="C544" s="43" t="s">
        <v>69</v>
      </c>
      <c r="D544" s="43" t="s">
        <v>672</v>
      </c>
      <c r="E544" s="43" t="s">
        <v>100</v>
      </c>
      <c r="F544" s="94">
        <v>20</v>
      </c>
      <c r="G544" s="94"/>
      <c r="H544" s="94"/>
    </row>
    <row r="545" spans="1:8" ht="78.75">
      <c r="A545" s="54" t="s">
        <v>698</v>
      </c>
      <c r="B545" s="43" t="s">
        <v>59</v>
      </c>
      <c r="C545" s="43" t="s">
        <v>69</v>
      </c>
      <c r="D545" s="43" t="s">
        <v>675</v>
      </c>
      <c r="E545" s="43"/>
      <c r="F545" s="59">
        <f aca="true" t="shared" si="80" ref="F545:H547">F546</f>
        <v>110</v>
      </c>
      <c r="G545" s="59">
        <f t="shared" si="80"/>
        <v>110</v>
      </c>
      <c r="H545" s="59">
        <f t="shared" si="80"/>
        <v>110</v>
      </c>
    </row>
    <row r="546" spans="1:8" ht="94.5">
      <c r="A546" s="40" t="s">
        <v>699</v>
      </c>
      <c r="B546" s="155" t="s">
        <v>59</v>
      </c>
      <c r="C546" s="155" t="s">
        <v>69</v>
      </c>
      <c r="D546" s="43" t="s">
        <v>676</v>
      </c>
      <c r="E546" s="43"/>
      <c r="F546" s="59">
        <f t="shared" si="80"/>
        <v>110</v>
      </c>
      <c r="G546" s="59">
        <f t="shared" si="80"/>
        <v>110</v>
      </c>
      <c r="H546" s="59">
        <f t="shared" si="80"/>
        <v>110</v>
      </c>
    </row>
    <row r="547" spans="1:8" ht="63">
      <c r="A547" s="37" t="s">
        <v>700</v>
      </c>
      <c r="B547" s="155" t="s">
        <v>59</v>
      </c>
      <c r="C547" s="155" t="s">
        <v>69</v>
      </c>
      <c r="D547" s="43" t="s">
        <v>677</v>
      </c>
      <c r="E547" s="43"/>
      <c r="F547" s="94">
        <f t="shared" si="80"/>
        <v>110</v>
      </c>
      <c r="G547" s="94">
        <f t="shared" si="80"/>
        <v>110</v>
      </c>
      <c r="H547" s="94">
        <f t="shared" si="80"/>
        <v>110</v>
      </c>
    </row>
    <row r="548" spans="1:8" ht="47.25">
      <c r="A548" s="40" t="s">
        <v>20</v>
      </c>
      <c r="B548" s="155" t="s">
        <v>59</v>
      </c>
      <c r="C548" s="155" t="s">
        <v>69</v>
      </c>
      <c r="D548" s="43" t="s">
        <v>677</v>
      </c>
      <c r="E548" s="43" t="s">
        <v>100</v>
      </c>
      <c r="F548" s="94">
        <v>110</v>
      </c>
      <c r="G548" s="94">
        <v>110</v>
      </c>
      <c r="H548" s="94">
        <v>110</v>
      </c>
    </row>
    <row r="549" spans="1:8" ht="63">
      <c r="A549" s="87" t="s">
        <v>942</v>
      </c>
      <c r="B549" s="43" t="s">
        <v>59</v>
      </c>
      <c r="C549" s="43" t="s">
        <v>69</v>
      </c>
      <c r="D549" s="43" t="s">
        <v>680</v>
      </c>
      <c r="E549" s="74"/>
      <c r="F549" s="94">
        <f>F550</f>
        <v>5</v>
      </c>
      <c r="G549" s="94"/>
      <c r="H549" s="94"/>
    </row>
    <row r="550" spans="1:8" ht="63">
      <c r="A550" s="40" t="s">
        <v>941</v>
      </c>
      <c r="B550" s="43" t="s">
        <v>59</v>
      </c>
      <c r="C550" s="43" t="s">
        <v>69</v>
      </c>
      <c r="D550" s="43" t="s">
        <v>682</v>
      </c>
      <c r="E550" s="74"/>
      <c r="F550" s="94">
        <f>F551</f>
        <v>5</v>
      </c>
      <c r="G550" s="94"/>
      <c r="H550" s="94"/>
    </row>
    <row r="551" spans="1:8" ht="31.5">
      <c r="A551" s="40" t="s">
        <v>95</v>
      </c>
      <c r="B551" s="43" t="s">
        <v>59</v>
      </c>
      <c r="C551" s="43" t="s">
        <v>69</v>
      </c>
      <c r="D551" s="43" t="s">
        <v>683</v>
      </c>
      <c r="E551" s="43"/>
      <c r="F551" s="94">
        <f>F552</f>
        <v>5</v>
      </c>
      <c r="G551" s="94"/>
      <c r="H551" s="94"/>
    </row>
    <row r="552" spans="1:8" ht="47.25">
      <c r="A552" s="40" t="s">
        <v>20</v>
      </c>
      <c r="B552" s="43" t="s">
        <v>59</v>
      </c>
      <c r="C552" s="43" t="s">
        <v>69</v>
      </c>
      <c r="D552" s="43" t="s">
        <v>683</v>
      </c>
      <c r="E552" s="43" t="s">
        <v>100</v>
      </c>
      <c r="F552" s="94">
        <v>5</v>
      </c>
      <c r="G552" s="94"/>
      <c r="H552" s="94"/>
    </row>
    <row r="553" spans="1:8" ht="15.75">
      <c r="A553" s="40" t="s">
        <v>118</v>
      </c>
      <c r="B553" s="43" t="s">
        <v>59</v>
      </c>
      <c r="C553" s="43" t="s">
        <v>59</v>
      </c>
      <c r="D553" s="43"/>
      <c r="E553" s="43"/>
      <c r="F553" s="45">
        <f>F554+F558</f>
        <v>2816.5999999999995</v>
      </c>
      <c r="G553" s="45">
        <f>G554+G558</f>
        <v>2816.6</v>
      </c>
      <c r="H553" s="45">
        <f>H554+H558</f>
        <v>2816.6</v>
      </c>
    </row>
    <row r="554" spans="1:8" ht="47.25">
      <c r="A554" s="40" t="s">
        <v>713</v>
      </c>
      <c r="B554" s="43" t="s">
        <v>59</v>
      </c>
      <c r="C554" s="43" t="s">
        <v>59</v>
      </c>
      <c r="D554" s="43" t="s">
        <v>374</v>
      </c>
      <c r="E554" s="43"/>
      <c r="F554" s="45">
        <f>F555</f>
        <v>68.6</v>
      </c>
      <c r="G554" s="45">
        <f>G555</f>
        <v>20.3</v>
      </c>
      <c r="H554" s="45">
        <f>H555</f>
        <v>20.3</v>
      </c>
    </row>
    <row r="555" spans="1:8" ht="63">
      <c r="A555" s="40" t="s">
        <v>198</v>
      </c>
      <c r="B555" s="43" t="s">
        <v>59</v>
      </c>
      <c r="C555" s="43" t="s">
        <v>59</v>
      </c>
      <c r="D555" s="43" t="s">
        <v>307</v>
      </c>
      <c r="E555" s="43"/>
      <c r="F555" s="59">
        <f aca="true" t="shared" si="81" ref="F555:H556">F556</f>
        <v>68.6</v>
      </c>
      <c r="G555" s="59">
        <f t="shared" si="81"/>
        <v>20.3</v>
      </c>
      <c r="H555" s="59">
        <f t="shared" si="81"/>
        <v>20.3</v>
      </c>
    </row>
    <row r="556" spans="1:8" ht="15.75">
      <c r="A556" s="37" t="s">
        <v>150</v>
      </c>
      <c r="B556" s="43" t="s">
        <v>59</v>
      </c>
      <c r="C556" s="43" t="s">
        <v>59</v>
      </c>
      <c r="D556" s="43" t="s">
        <v>426</v>
      </c>
      <c r="E556" s="43"/>
      <c r="F556" s="59">
        <f t="shared" si="81"/>
        <v>68.6</v>
      </c>
      <c r="G556" s="59">
        <f t="shared" si="81"/>
        <v>20.3</v>
      </c>
      <c r="H556" s="59">
        <f t="shared" si="81"/>
        <v>20.3</v>
      </c>
    </row>
    <row r="557" spans="1:8" ht="15.75">
      <c r="A557" s="40" t="s">
        <v>110</v>
      </c>
      <c r="B557" s="43" t="s">
        <v>59</v>
      </c>
      <c r="C557" s="43" t="s">
        <v>59</v>
      </c>
      <c r="D557" s="43" t="s">
        <v>426</v>
      </c>
      <c r="E557" s="43" t="s">
        <v>111</v>
      </c>
      <c r="F557" s="45">
        <v>68.6</v>
      </c>
      <c r="G557" s="45">
        <v>20.3</v>
      </c>
      <c r="H557" s="45">
        <v>20.3</v>
      </c>
    </row>
    <row r="558" spans="1:8" ht="31.5">
      <c r="A558" s="37" t="s">
        <v>738</v>
      </c>
      <c r="B558" s="43" t="s">
        <v>59</v>
      </c>
      <c r="C558" s="43" t="s">
        <v>59</v>
      </c>
      <c r="D558" s="43" t="s">
        <v>132</v>
      </c>
      <c r="E558" s="43"/>
      <c r="F558" s="45">
        <f>F559+F572</f>
        <v>2747.9999999999995</v>
      </c>
      <c r="G558" s="45">
        <f>G559+G572</f>
        <v>2796.2999999999997</v>
      </c>
      <c r="H558" s="45">
        <f>H559+H572</f>
        <v>2796.2999999999997</v>
      </c>
    </row>
    <row r="559" spans="1:8" ht="31.5">
      <c r="A559" s="37" t="s">
        <v>233</v>
      </c>
      <c r="B559" s="43" t="s">
        <v>59</v>
      </c>
      <c r="C559" s="43" t="s">
        <v>59</v>
      </c>
      <c r="D559" s="43" t="s">
        <v>241</v>
      </c>
      <c r="E559" s="43"/>
      <c r="F559" s="45">
        <f>F560+F568+F564</f>
        <v>193.2</v>
      </c>
      <c r="G559" s="45">
        <f>G560+G568+G564</f>
        <v>193.2</v>
      </c>
      <c r="H559" s="45">
        <f>H560+H568+H564</f>
        <v>193.2</v>
      </c>
    </row>
    <row r="560" spans="1:8" ht="47.25">
      <c r="A560" s="37" t="s">
        <v>234</v>
      </c>
      <c r="B560" s="43" t="s">
        <v>59</v>
      </c>
      <c r="C560" s="43" t="s">
        <v>59</v>
      </c>
      <c r="D560" s="43" t="s">
        <v>242</v>
      </c>
      <c r="E560" s="43"/>
      <c r="F560" s="45">
        <f>F561</f>
        <v>65.7</v>
      </c>
      <c r="G560" s="45">
        <f>G561</f>
        <v>65.7</v>
      </c>
      <c r="H560" s="45">
        <f>H561</f>
        <v>65.7</v>
      </c>
    </row>
    <row r="561" spans="1:8" ht="31.5">
      <c r="A561" s="37" t="s">
        <v>231</v>
      </c>
      <c r="B561" s="43" t="s">
        <v>59</v>
      </c>
      <c r="C561" s="43" t="s">
        <v>59</v>
      </c>
      <c r="D561" s="43" t="s">
        <v>251</v>
      </c>
      <c r="E561" s="43"/>
      <c r="F561" s="45">
        <f>F563+F562</f>
        <v>65.7</v>
      </c>
      <c r="G561" s="45">
        <f>G563+G562</f>
        <v>65.7</v>
      </c>
      <c r="H561" s="45">
        <f>H563+H562</f>
        <v>65.7</v>
      </c>
    </row>
    <row r="562" spans="1:8" ht="31.5">
      <c r="A562" s="37" t="s">
        <v>96</v>
      </c>
      <c r="B562" s="43" t="s">
        <v>59</v>
      </c>
      <c r="C562" s="43" t="s">
        <v>59</v>
      </c>
      <c r="D562" s="43" t="s">
        <v>251</v>
      </c>
      <c r="E562" s="43" t="s">
        <v>97</v>
      </c>
      <c r="F562" s="45">
        <v>8</v>
      </c>
      <c r="G562" s="45">
        <v>8</v>
      </c>
      <c r="H562" s="45">
        <v>8</v>
      </c>
    </row>
    <row r="563" spans="1:8" ht="47.25">
      <c r="A563" s="40" t="s">
        <v>20</v>
      </c>
      <c r="B563" s="43" t="s">
        <v>59</v>
      </c>
      <c r="C563" s="43" t="s">
        <v>59</v>
      </c>
      <c r="D563" s="43" t="s">
        <v>251</v>
      </c>
      <c r="E563" s="43" t="s">
        <v>100</v>
      </c>
      <c r="F563" s="45">
        <f>77.7-20</f>
        <v>57.7</v>
      </c>
      <c r="G563" s="45">
        <f>77.7-20</f>
        <v>57.7</v>
      </c>
      <c r="H563" s="45">
        <f>77.7-20</f>
        <v>57.7</v>
      </c>
    </row>
    <row r="564" spans="1:8" ht="31.5">
      <c r="A564" s="40" t="s">
        <v>511</v>
      </c>
      <c r="B564" s="43" t="s">
        <v>59</v>
      </c>
      <c r="C564" s="43" t="s">
        <v>59</v>
      </c>
      <c r="D564" s="43" t="s">
        <v>513</v>
      </c>
      <c r="E564" s="43"/>
      <c r="F564" s="59">
        <f>F565</f>
        <v>12</v>
      </c>
      <c r="G564" s="59">
        <f>G565</f>
        <v>12</v>
      </c>
      <c r="H564" s="59">
        <f>H565</f>
        <v>12</v>
      </c>
    </row>
    <row r="565" spans="1:8" ht="31.5">
      <c r="A565" s="40" t="s">
        <v>231</v>
      </c>
      <c r="B565" s="43" t="s">
        <v>59</v>
      </c>
      <c r="C565" s="43" t="s">
        <v>59</v>
      </c>
      <c r="D565" s="43" t="s">
        <v>512</v>
      </c>
      <c r="E565" s="43"/>
      <c r="F565" s="59">
        <f>F567+F566</f>
        <v>12</v>
      </c>
      <c r="G565" s="59">
        <f>G567+G566</f>
        <v>12</v>
      </c>
      <c r="H565" s="59">
        <f>H567+H566</f>
        <v>12</v>
      </c>
    </row>
    <row r="566" spans="1:8" ht="31.5">
      <c r="A566" s="37" t="s">
        <v>96</v>
      </c>
      <c r="B566" s="43" t="s">
        <v>59</v>
      </c>
      <c r="C566" s="43" t="s">
        <v>59</v>
      </c>
      <c r="D566" s="43" t="s">
        <v>512</v>
      </c>
      <c r="E566" s="43" t="s">
        <v>97</v>
      </c>
      <c r="F566" s="59">
        <v>12</v>
      </c>
      <c r="G566" s="59">
        <v>12</v>
      </c>
      <c r="H566" s="59">
        <v>12</v>
      </c>
    </row>
    <row r="567" spans="1:8" ht="47.25">
      <c r="A567" s="40" t="s">
        <v>20</v>
      </c>
      <c r="B567" s="43" t="s">
        <v>59</v>
      </c>
      <c r="C567" s="43" t="s">
        <v>59</v>
      </c>
      <c r="D567" s="43" t="s">
        <v>512</v>
      </c>
      <c r="E567" s="43" t="s">
        <v>100</v>
      </c>
      <c r="F567" s="59">
        <v>0</v>
      </c>
      <c r="G567" s="59">
        <v>0</v>
      </c>
      <c r="H567" s="59">
        <v>0</v>
      </c>
    </row>
    <row r="568" spans="1:8" ht="47.25">
      <c r="A568" s="40" t="s">
        <v>236</v>
      </c>
      <c r="B568" s="43" t="s">
        <v>59</v>
      </c>
      <c r="C568" s="43" t="s">
        <v>59</v>
      </c>
      <c r="D568" s="43" t="s">
        <v>244</v>
      </c>
      <c r="E568" s="43"/>
      <c r="F568" s="45">
        <f>F569</f>
        <v>115.5</v>
      </c>
      <c r="G568" s="45">
        <f>G569</f>
        <v>115.5</v>
      </c>
      <c r="H568" s="45">
        <f>H569</f>
        <v>115.5</v>
      </c>
    </row>
    <row r="569" spans="1:8" ht="31.5">
      <c r="A569" s="37" t="s">
        <v>231</v>
      </c>
      <c r="B569" s="43" t="s">
        <v>59</v>
      </c>
      <c r="C569" s="43" t="s">
        <v>59</v>
      </c>
      <c r="D569" s="43" t="s">
        <v>253</v>
      </c>
      <c r="E569" s="43"/>
      <c r="F569" s="45">
        <f>F571+F570</f>
        <v>115.5</v>
      </c>
      <c r="G569" s="45">
        <f>G571+G570</f>
        <v>115.5</v>
      </c>
      <c r="H569" s="45">
        <f>H571+H570</f>
        <v>115.5</v>
      </c>
    </row>
    <row r="570" spans="1:8" ht="31.5">
      <c r="A570" s="37" t="s">
        <v>96</v>
      </c>
      <c r="B570" s="43" t="s">
        <v>59</v>
      </c>
      <c r="C570" s="43" t="s">
        <v>59</v>
      </c>
      <c r="D570" s="43" t="s">
        <v>253</v>
      </c>
      <c r="E570" s="43" t="s">
        <v>97</v>
      </c>
      <c r="F570" s="45">
        <v>96.5</v>
      </c>
      <c r="G570" s="45">
        <v>48.5</v>
      </c>
      <c r="H570" s="45">
        <v>48.5</v>
      </c>
    </row>
    <row r="571" spans="1:8" ht="47.25">
      <c r="A571" s="40" t="s">
        <v>20</v>
      </c>
      <c r="B571" s="43" t="s">
        <v>59</v>
      </c>
      <c r="C571" s="43" t="s">
        <v>59</v>
      </c>
      <c r="D571" s="43" t="s">
        <v>253</v>
      </c>
      <c r="E571" s="43" t="s">
        <v>100</v>
      </c>
      <c r="F571" s="45">
        <v>19</v>
      </c>
      <c r="G571" s="45">
        <f>97-30</f>
        <v>67</v>
      </c>
      <c r="H571" s="45">
        <f>97-30</f>
        <v>67</v>
      </c>
    </row>
    <row r="572" spans="1:8" ht="31.5">
      <c r="A572" s="124" t="s">
        <v>313</v>
      </c>
      <c r="B572" s="43" t="s">
        <v>59</v>
      </c>
      <c r="C572" s="43" t="s">
        <v>59</v>
      </c>
      <c r="D572" s="43" t="s">
        <v>247</v>
      </c>
      <c r="E572" s="43"/>
      <c r="F572" s="45">
        <f aca="true" t="shared" si="82" ref="F572:H574">F573</f>
        <v>2554.7999999999997</v>
      </c>
      <c r="G572" s="45">
        <f t="shared" si="82"/>
        <v>2603.1</v>
      </c>
      <c r="H572" s="45">
        <f t="shared" si="82"/>
        <v>2603.1</v>
      </c>
    </row>
    <row r="573" spans="1:8" ht="63">
      <c r="A573" s="124" t="s">
        <v>240</v>
      </c>
      <c r="B573" s="43" t="s">
        <v>59</v>
      </c>
      <c r="C573" s="43" t="s">
        <v>59</v>
      </c>
      <c r="D573" s="43" t="s">
        <v>248</v>
      </c>
      <c r="E573" s="43"/>
      <c r="F573" s="45">
        <f>F574+F576</f>
        <v>2554.7999999999997</v>
      </c>
      <c r="G573" s="45">
        <f>G574+G576</f>
        <v>2603.1</v>
      </c>
      <c r="H573" s="45">
        <f>H574+H576</f>
        <v>2603.1</v>
      </c>
    </row>
    <row r="574" spans="1:8" ht="15.75">
      <c r="A574" s="124" t="s">
        <v>250</v>
      </c>
      <c r="B574" s="43" t="s">
        <v>59</v>
      </c>
      <c r="C574" s="43" t="s">
        <v>59</v>
      </c>
      <c r="D574" s="43" t="s">
        <v>249</v>
      </c>
      <c r="E574" s="43"/>
      <c r="F574" s="45">
        <f t="shared" si="82"/>
        <v>1925.8999999999999</v>
      </c>
      <c r="G574" s="45">
        <f t="shared" si="82"/>
        <v>1964.6999999999998</v>
      </c>
      <c r="H574" s="45">
        <f t="shared" si="82"/>
        <v>1954.8999999999999</v>
      </c>
    </row>
    <row r="575" spans="1:8" ht="15.75">
      <c r="A575" s="40" t="s">
        <v>110</v>
      </c>
      <c r="B575" s="43" t="s">
        <v>59</v>
      </c>
      <c r="C575" s="43" t="s">
        <v>59</v>
      </c>
      <c r="D575" s="43" t="s">
        <v>249</v>
      </c>
      <c r="E575" s="43" t="s">
        <v>111</v>
      </c>
      <c r="F575" s="45">
        <v>1925.8999999999999</v>
      </c>
      <c r="G575" s="45">
        <f>2603.1-638.4</f>
        <v>1964.6999999999998</v>
      </c>
      <c r="H575" s="45">
        <f>2603.1-648.2</f>
        <v>1954.8999999999999</v>
      </c>
    </row>
    <row r="576" spans="1:8" ht="47.25">
      <c r="A576" s="40" t="s">
        <v>462</v>
      </c>
      <c r="B576" s="43" t="s">
        <v>59</v>
      </c>
      <c r="C576" s="43" t="s">
        <v>59</v>
      </c>
      <c r="D576" s="43" t="s">
        <v>465</v>
      </c>
      <c r="E576" s="43"/>
      <c r="F576" s="59">
        <f>F577</f>
        <v>628.9</v>
      </c>
      <c r="G576" s="59">
        <f>G577</f>
        <v>638.4</v>
      </c>
      <c r="H576" s="59">
        <f>H577</f>
        <v>648.2</v>
      </c>
    </row>
    <row r="577" spans="1:8" ht="15.75">
      <c r="A577" s="40" t="s">
        <v>110</v>
      </c>
      <c r="B577" s="43" t="s">
        <v>59</v>
      </c>
      <c r="C577" s="43" t="s">
        <v>59</v>
      </c>
      <c r="D577" s="43" t="s">
        <v>465</v>
      </c>
      <c r="E577" s="43" t="s">
        <v>111</v>
      </c>
      <c r="F577" s="94">
        <v>628.9</v>
      </c>
      <c r="G577" s="94">
        <v>638.4</v>
      </c>
      <c r="H577" s="94">
        <v>648.2</v>
      </c>
    </row>
    <row r="578" spans="1:8" ht="15.75">
      <c r="A578" s="40" t="s">
        <v>79</v>
      </c>
      <c r="B578" s="43" t="s">
        <v>59</v>
      </c>
      <c r="C578" s="43" t="s">
        <v>65</v>
      </c>
      <c r="D578" s="43"/>
      <c r="E578" s="43"/>
      <c r="F578" s="45">
        <f>F579+F627+F615</f>
        <v>25076.5</v>
      </c>
      <c r="G578" s="45">
        <f>G579+G627+G615</f>
        <v>22549.399999999998</v>
      </c>
      <c r="H578" s="45">
        <f>H579+H627+H615</f>
        <v>22549.399999999998</v>
      </c>
    </row>
    <row r="579" spans="1:8" ht="47.25">
      <c r="A579" s="40" t="s">
        <v>932</v>
      </c>
      <c r="B579" s="43" t="s">
        <v>59</v>
      </c>
      <c r="C579" s="43" t="s">
        <v>65</v>
      </c>
      <c r="D579" s="43" t="s">
        <v>369</v>
      </c>
      <c r="E579" s="43"/>
      <c r="F579" s="45">
        <f>F591+F580+F610+F587</f>
        <v>24414.5</v>
      </c>
      <c r="G579" s="45">
        <f>G591+G580+G610</f>
        <v>21887.399999999998</v>
      </c>
      <c r="H579" s="45">
        <f>H591+H580+H610</f>
        <v>21887.399999999998</v>
      </c>
    </row>
    <row r="580" spans="1:8" ht="31.5">
      <c r="A580" s="40" t="s">
        <v>112</v>
      </c>
      <c r="B580" s="43" t="s">
        <v>59</v>
      </c>
      <c r="C580" s="43" t="s">
        <v>65</v>
      </c>
      <c r="D580" s="43" t="s">
        <v>156</v>
      </c>
      <c r="E580" s="43"/>
      <c r="F580" s="45">
        <f>F581+F584</f>
        <v>2210.8999999999996</v>
      </c>
      <c r="G580" s="45">
        <f>G581+G584</f>
        <v>15.6</v>
      </c>
      <c r="H580" s="45">
        <f>H581+H584</f>
        <v>15.6</v>
      </c>
    </row>
    <row r="581" spans="1:8" ht="63">
      <c r="A581" s="40" t="s">
        <v>125</v>
      </c>
      <c r="B581" s="43" t="s">
        <v>59</v>
      </c>
      <c r="C581" s="43" t="s">
        <v>65</v>
      </c>
      <c r="D581" s="43" t="s">
        <v>168</v>
      </c>
      <c r="E581" s="43"/>
      <c r="F581" s="45">
        <f aca="true" t="shared" si="83" ref="F581:H582">F582</f>
        <v>15.6</v>
      </c>
      <c r="G581" s="45">
        <f t="shared" si="83"/>
        <v>15.6</v>
      </c>
      <c r="H581" s="45">
        <f t="shared" si="83"/>
        <v>15.6</v>
      </c>
    </row>
    <row r="582" spans="1:8" ht="94.5">
      <c r="A582" s="40" t="s">
        <v>289</v>
      </c>
      <c r="B582" s="43" t="s">
        <v>59</v>
      </c>
      <c r="C582" s="43" t="s">
        <v>65</v>
      </c>
      <c r="D582" s="43" t="s">
        <v>126</v>
      </c>
      <c r="E582" s="43"/>
      <c r="F582" s="45">
        <f t="shared" si="83"/>
        <v>15.6</v>
      </c>
      <c r="G582" s="45">
        <f t="shared" si="83"/>
        <v>15.6</v>
      </c>
      <c r="H582" s="45">
        <f t="shared" si="83"/>
        <v>15.6</v>
      </c>
    </row>
    <row r="583" spans="1:8" ht="31.5">
      <c r="A583" s="40" t="s">
        <v>221</v>
      </c>
      <c r="B583" s="43" t="s">
        <v>59</v>
      </c>
      <c r="C583" s="43" t="s">
        <v>65</v>
      </c>
      <c r="D583" s="43" t="s">
        <v>126</v>
      </c>
      <c r="E583" s="43" t="s">
        <v>222</v>
      </c>
      <c r="F583" s="45">
        <v>15.6</v>
      </c>
      <c r="G583" s="45">
        <v>15.6</v>
      </c>
      <c r="H583" s="45">
        <v>15.6</v>
      </c>
    </row>
    <row r="584" spans="1:8" ht="31.5">
      <c r="A584" s="40" t="s">
        <v>711</v>
      </c>
      <c r="B584" s="43" t="s">
        <v>59</v>
      </c>
      <c r="C584" s="43" t="s">
        <v>65</v>
      </c>
      <c r="D584" s="43" t="s">
        <v>712</v>
      </c>
      <c r="E584" s="43"/>
      <c r="F584" s="45">
        <f aca="true" t="shared" si="84" ref="F584:H585">F585</f>
        <v>2195.2999999999997</v>
      </c>
      <c r="G584" s="45">
        <f t="shared" si="84"/>
        <v>0</v>
      </c>
      <c r="H584" s="45">
        <f t="shared" si="84"/>
        <v>0</v>
      </c>
    </row>
    <row r="585" spans="1:8" ht="110.25">
      <c r="A585" s="40" t="s">
        <v>959</v>
      </c>
      <c r="B585" s="43" t="s">
        <v>59</v>
      </c>
      <c r="C585" s="43" t="s">
        <v>65</v>
      </c>
      <c r="D585" s="43" t="s">
        <v>958</v>
      </c>
      <c r="E585" s="43"/>
      <c r="F585" s="45">
        <f t="shared" si="84"/>
        <v>2195.2999999999997</v>
      </c>
      <c r="G585" s="45">
        <f t="shared" si="84"/>
        <v>0</v>
      </c>
      <c r="H585" s="45">
        <f t="shared" si="84"/>
        <v>0</v>
      </c>
    </row>
    <row r="586" spans="1:8" ht="47.25">
      <c r="A586" s="40" t="s">
        <v>20</v>
      </c>
      <c r="B586" s="43" t="s">
        <v>59</v>
      </c>
      <c r="C586" s="43" t="s">
        <v>65</v>
      </c>
      <c r="D586" s="43" t="s">
        <v>958</v>
      </c>
      <c r="E586" s="43" t="s">
        <v>100</v>
      </c>
      <c r="F586" s="45">
        <f>2195.1+0.2</f>
        <v>2195.2999999999997</v>
      </c>
      <c r="G586" s="45">
        <v>0</v>
      </c>
      <c r="H586" s="45">
        <v>0</v>
      </c>
    </row>
    <row r="587" spans="1:8" ht="78.75">
      <c r="A587" s="40" t="s">
        <v>108</v>
      </c>
      <c r="B587" s="43" t="s">
        <v>59</v>
      </c>
      <c r="C587" s="43" t="s">
        <v>65</v>
      </c>
      <c r="D587" s="43" t="s">
        <v>151</v>
      </c>
      <c r="E587" s="43"/>
      <c r="F587" s="45">
        <f>F588</f>
        <v>268.5</v>
      </c>
      <c r="G587" s="45"/>
      <c r="H587" s="45"/>
    </row>
    <row r="588" spans="1:8" ht="47.25">
      <c r="A588" s="40" t="s">
        <v>152</v>
      </c>
      <c r="B588" s="43" t="s">
        <v>59</v>
      </c>
      <c r="C588" s="43" t="s">
        <v>65</v>
      </c>
      <c r="D588" s="43" t="s">
        <v>153</v>
      </c>
      <c r="E588" s="43"/>
      <c r="F588" s="45">
        <f>F589</f>
        <v>268.5</v>
      </c>
      <c r="G588" s="45"/>
      <c r="H588" s="45"/>
    </row>
    <row r="589" spans="1:8" ht="15.75">
      <c r="A589" s="40" t="s">
        <v>109</v>
      </c>
      <c r="B589" s="43" t="s">
        <v>59</v>
      </c>
      <c r="C589" s="43" t="s">
        <v>65</v>
      </c>
      <c r="D589" s="43" t="s">
        <v>154</v>
      </c>
      <c r="E589" s="43"/>
      <c r="F589" s="45">
        <f>F590</f>
        <v>268.5</v>
      </c>
      <c r="G589" s="45"/>
      <c r="H589" s="45"/>
    </row>
    <row r="590" spans="1:8" ht="15.75">
      <c r="A590" s="40" t="s">
        <v>110</v>
      </c>
      <c r="B590" s="43" t="s">
        <v>59</v>
      </c>
      <c r="C590" s="43" t="s">
        <v>65</v>
      </c>
      <c r="D590" s="43" t="s">
        <v>154</v>
      </c>
      <c r="E590" s="43" t="s">
        <v>111</v>
      </c>
      <c r="F590" s="45">
        <v>268.5</v>
      </c>
      <c r="G590" s="45"/>
      <c r="H590" s="45"/>
    </row>
    <row r="591" spans="1:8" ht="63">
      <c r="A591" s="37" t="s">
        <v>933</v>
      </c>
      <c r="B591" s="43" t="s">
        <v>59</v>
      </c>
      <c r="C591" s="43" t="s">
        <v>65</v>
      </c>
      <c r="D591" s="43" t="s">
        <v>127</v>
      </c>
      <c r="E591" s="43"/>
      <c r="F591" s="45">
        <f>F592+F607</f>
        <v>21865.1</v>
      </c>
      <c r="G591" s="45">
        <f>G592+G607</f>
        <v>21801.8</v>
      </c>
      <c r="H591" s="45">
        <f>H592+H607</f>
        <v>21801.8</v>
      </c>
    </row>
    <row r="592" spans="1:8" ht="63">
      <c r="A592" s="37" t="s">
        <v>708</v>
      </c>
      <c r="B592" s="43" t="s">
        <v>59</v>
      </c>
      <c r="C592" s="43" t="s">
        <v>65</v>
      </c>
      <c r="D592" s="43" t="s">
        <v>128</v>
      </c>
      <c r="E592" s="43"/>
      <c r="F592" s="45">
        <f>F593+F597+F604+F602</f>
        <v>21175.5</v>
      </c>
      <c r="G592" s="45">
        <f>G593+G597+G604</f>
        <v>21213.5</v>
      </c>
      <c r="H592" s="45">
        <f>H593+H597+H604</f>
        <v>21213.5</v>
      </c>
    </row>
    <row r="593" spans="1:8" ht="31.5">
      <c r="A593" s="40" t="s">
        <v>95</v>
      </c>
      <c r="B593" s="43" t="s">
        <v>59</v>
      </c>
      <c r="C593" s="43" t="s">
        <v>65</v>
      </c>
      <c r="D593" s="43" t="s">
        <v>348</v>
      </c>
      <c r="E593" s="43"/>
      <c r="F593" s="45">
        <f>F594+F595+F596</f>
        <v>4344.2</v>
      </c>
      <c r="G593" s="45">
        <f>G594+G595+G596</f>
        <v>4322</v>
      </c>
      <c r="H593" s="45">
        <f>H594+H595+H596</f>
        <v>4298.2</v>
      </c>
    </row>
    <row r="594" spans="1:8" ht="31.5">
      <c r="A594" s="37" t="s">
        <v>96</v>
      </c>
      <c r="B594" s="43" t="s">
        <v>59</v>
      </c>
      <c r="C594" s="43" t="s">
        <v>65</v>
      </c>
      <c r="D594" s="43" t="s">
        <v>348</v>
      </c>
      <c r="E594" s="43" t="s">
        <v>97</v>
      </c>
      <c r="F594" s="45">
        <v>3674.7</v>
      </c>
      <c r="G594" s="45">
        <v>3651.5</v>
      </c>
      <c r="H594" s="45">
        <v>3627.7</v>
      </c>
    </row>
    <row r="595" spans="1:8" ht="47.25">
      <c r="A595" s="40" t="s">
        <v>20</v>
      </c>
      <c r="B595" s="43" t="s">
        <v>59</v>
      </c>
      <c r="C595" s="43" t="s">
        <v>65</v>
      </c>
      <c r="D595" s="43" t="s">
        <v>348</v>
      </c>
      <c r="E595" s="43" t="s">
        <v>100</v>
      </c>
      <c r="F595" s="45">
        <v>655.3</v>
      </c>
      <c r="G595" s="45">
        <v>656.3</v>
      </c>
      <c r="H595" s="45">
        <v>656.3</v>
      </c>
    </row>
    <row r="596" spans="1:8" ht="15.75">
      <c r="A596" s="40" t="s">
        <v>21</v>
      </c>
      <c r="B596" s="43" t="s">
        <v>59</v>
      </c>
      <c r="C596" s="43" t="s">
        <v>65</v>
      </c>
      <c r="D596" s="43" t="s">
        <v>348</v>
      </c>
      <c r="E596" s="43" t="s">
        <v>101</v>
      </c>
      <c r="F596" s="45">
        <v>14.2</v>
      </c>
      <c r="G596" s="45">
        <v>14.2</v>
      </c>
      <c r="H596" s="45">
        <v>14.2</v>
      </c>
    </row>
    <row r="597" spans="1:8" ht="31.5">
      <c r="A597" s="124" t="s">
        <v>358</v>
      </c>
      <c r="B597" s="43" t="s">
        <v>59</v>
      </c>
      <c r="C597" s="43" t="s">
        <v>65</v>
      </c>
      <c r="D597" s="43" t="s">
        <v>349</v>
      </c>
      <c r="E597" s="43"/>
      <c r="F597" s="45">
        <f>F598+F599+F601+F600</f>
        <v>8302.9</v>
      </c>
      <c r="G597" s="45">
        <f>G598+G599+G601+G600</f>
        <v>7922.200000000001</v>
      </c>
      <c r="H597" s="45">
        <f>H598+H599+H601+H600</f>
        <v>7491.3</v>
      </c>
    </row>
    <row r="598" spans="1:8" ht="31.5">
      <c r="A598" s="40" t="s">
        <v>229</v>
      </c>
      <c r="B598" s="43" t="s">
        <v>59</v>
      </c>
      <c r="C598" s="43" t="s">
        <v>65</v>
      </c>
      <c r="D598" s="43" t="s">
        <v>349</v>
      </c>
      <c r="E598" s="43" t="s">
        <v>230</v>
      </c>
      <c r="F598" s="45">
        <v>7585.8</v>
      </c>
      <c r="G598" s="45">
        <v>7168.1</v>
      </c>
      <c r="H598" s="45">
        <v>6737.2</v>
      </c>
    </row>
    <row r="599" spans="1:8" ht="47.25">
      <c r="A599" s="40" t="s">
        <v>20</v>
      </c>
      <c r="B599" s="43" t="s">
        <v>59</v>
      </c>
      <c r="C599" s="43" t="s">
        <v>65</v>
      </c>
      <c r="D599" s="43" t="s">
        <v>349</v>
      </c>
      <c r="E599" s="43" t="s">
        <v>100</v>
      </c>
      <c r="F599" s="45">
        <v>715.1</v>
      </c>
      <c r="G599" s="45">
        <v>752.1</v>
      </c>
      <c r="H599" s="45">
        <v>752.1</v>
      </c>
    </row>
    <row r="600" spans="1:8" ht="31.5" hidden="1">
      <c r="A600" s="40" t="s">
        <v>221</v>
      </c>
      <c r="B600" s="43" t="s">
        <v>59</v>
      </c>
      <c r="C600" s="43" t="s">
        <v>65</v>
      </c>
      <c r="D600" s="43" t="s">
        <v>349</v>
      </c>
      <c r="E600" s="43" t="s">
        <v>222</v>
      </c>
      <c r="F600" s="45">
        <v>0</v>
      </c>
      <c r="G600" s="45">
        <v>0</v>
      </c>
      <c r="H600" s="45">
        <v>0</v>
      </c>
    </row>
    <row r="601" spans="1:8" ht="15.75" hidden="1">
      <c r="A601" s="40" t="s">
        <v>21</v>
      </c>
      <c r="B601" s="43" t="s">
        <v>59</v>
      </c>
      <c r="C601" s="43" t="s">
        <v>65</v>
      </c>
      <c r="D601" s="43" t="s">
        <v>349</v>
      </c>
      <c r="E601" s="43" t="s">
        <v>101</v>
      </c>
      <c r="F601" s="45">
        <v>2</v>
      </c>
      <c r="G601" s="45">
        <v>2</v>
      </c>
      <c r="H601" s="45">
        <v>2</v>
      </c>
    </row>
    <row r="602" spans="1:8" ht="204.75" hidden="1">
      <c r="A602" s="40" t="s">
        <v>550</v>
      </c>
      <c r="B602" s="43" t="s">
        <v>59</v>
      </c>
      <c r="C602" s="43" t="s">
        <v>65</v>
      </c>
      <c r="D602" s="43" t="s">
        <v>551</v>
      </c>
      <c r="E602" s="43"/>
      <c r="F602" s="45">
        <f>F603</f>
        <v>0</v>
      </c>
      <c r="G602" s="45"/>
      <c r="H602" s="45"/>
    </row>
    <row r="603" spans="1:8" ht="31.5" hidden="1">
      <c r="A603" s="37" t="s">
        <v>96</v>
      </c>
      <c r="B603" s="43" t="s">
        <v>59</v>
      </c>
      <c r="C603" s="43" t="s">
        <v>65</v>
      </c>
      <c r="D603" s="43" t="s">
        <v>551</v>
      </c>
      <c r="E603" s="43" t="s">
        <v>97</v>
      </c>
      <c r="F603" s="45">
        <v>0</v>
      </c>
      <c r="G603" s="45"/>
      <c r="H603" s="45"/>
    </row>
    <row r="604" spans="1:8" ht="47.25">
      <c r="A604" s="40" t="s">
        <v>462</v>
      </c>
      <c r="B604" s="43" t="s">
        <v>59</v>
      </c>
      <c r="C604" s="43" t="s">
        <v>65</v>
      </c>
      <c r="D604" s="43" t="s">
        <v>476</v>
      </c>
      <c r="E604" s="43"/>
      <c r="F604" s="45">
        <f>F605+F606</f>
        <v>8528.4</v>
      </c>
      <c r="G604" s="45">
        <f>G605+G606</f>
        <v>8969.300000000001</v>
      </c>
      <c r="H604" s="45">
        <f>H605+H606</f>
        <v>9424</v>
      </c>
    </row>
    <row r="605" spans="1:8" ht="31.5">
      <c r="A605" s="40" t="s">
        <v>229</v>
      </c>
      <c r="B605" s="43" t="s">
        <v>59</v>
      </c>
      <c r="C605" s="43" t="s">
        <v>65</v>
      </c>
      <c r="D605" s="43" t="s">
        <v>476</v>
      </c>
      <c r="E605" s="43" t="s">
        <v>230</v>
      </c>
      <c r="F605" s="45">
        <v>8086.5</v>
      </c>
      <c r="G605" s="45">
        <v>8504.2</v>
      </c>
      <c r="H605" s="45">
        <v>8935.1</v>
      </c>
    </row>
    <row r="606" spans="1:8" ht="47.25">
      <c r="A606" s="40" t="s">
        <v>20</v>
      </c>
      <c r="B606" s="43" t="s">
        <v>59</v>
      </c>
      <c r="C606" s="43" t="s">
        <v>65</v>
      </c>
      <c r="D606" s="43" t="s">
        <v>476</v>
      </c>
      <c r="E606" s="43" t="s">
        <v>97</v>
      </c>
      <c r="F606" s="45">
        <v>441.9</v>
      </c>
      <c r="G606" s="45">
        <v>465.1</v>
      </c>
      <c r="H606" s="45">
        <v>488.9</v>
      </c>
    </row>
    <row r="607" spans="1:8" ht="78.75">
      <c r="A607" s="124" t="s">
        <v>971</v>
      </c>
      <c r="B607" s="43" t="s">
        <v>59</v>
      </c>
      <c r="C607" s="43" t="s">
        <v>65</v>
      </c>
      <c r="D607" s="43" t="s">
        <v>972</v>
      </c>
      <c r="E607" s="43"/>
      <c r="F607" s="45">
        <f aca="true" t="shared" si="85" ref="F607:H608">F608</f>
        <v>689.5999999999999</v>
      </c>
      <c r="G607" s="45">
        <f t="shared" si="85"/>
        <v>588.3</v>
      </c>
      <c r="H607" s="45">
        <f t="shared" si="85"/>
        <v>588.3</v>
      </c>
    </row>
    <row r="608" spans="1:8" ht="63">
      <c r="A608" s="40" t="s">
        <v>964</v>
      </c>
      <c r="B608" s="43" t="s">
        <v>59</v>
      </c>
      <c r="C608" s="43" t="s">
        <v>65</v>
      </c>
      <c r="D608" s="43" t="s">
        <v>973</v>
      </c>
      <c r="E608" s="43"/>
      <c r="F608" s="45">
        <f t="shared" si="85"/>
        <v>689.5999999999999</v>
      </c>
      <c r="G608" s="45">
        <f t="shared" si="85"/>
        <v>588.3</v>
      </c>
      <c r="H608" s="45">
        <f t="shared" si="85"/>
        <v>588.3</v>
      </c>
    </row>
    <row r="609" spans="1:8" ht="47.25">
      <c r="A609" s="40" t="s">
        <v>20</v>
      </c>
      <c r="B609" s="43" t="s">
        <v>59</v>
      </c>
      <c r="C609" s="43" t="s">
        <v>65</v>
      </c>
      <c r="D609" s="43" t="s">
        <v>973</v>
      </c>
      <c r="E609" s="43" t="s">
        <v>100</v>
      </c>
      <c r="F609" s="45">
        <v>689.5999999999999</v>
      </c>
      <c r="G609" s="45">
        <f>582.4+5.9</f>
        <v>588.3</v>
      </c>
      <c r="H609" s="45">
        <f>582.4+5.9</f>
        <v>588.3</v>
      </c>
    </row>
    <row r="610" spans="1:8" ht="15.75">
      <c r="A610" s="124" t="s">
        <v>121</v>
      </c>
      <c r="B610" s="43" t="s">
        <v>59</v>
      </c>
      <c r="C610" s="43" t="s">
        <v>65</v>
      </c>
      <c r="D610" s="43" t="s">
        <v>350</v>
      </c>
      <c r="E610" s="43"/>
      <c r="F610" s="45">
        <f aca="true" t="shared" si="86" ref="F610:H611">F611</f>
        <v>70</v>
      </c>
      <c r="G610" s="45">
        <f t="shared" si="86"/>
        <v>70</v>
      </c>
      <c r="H610" s="45">
        <f t="shared" si="86"/>
        <v>70</v>
      </c>
    </row>
    <row r="611" spans="1:8" ht="31.5">
      <c r="A611" s="40" t="s">
        <v>199</v>
      </c>
      <c r="B611" s="43" t="s">
        <v>59</v>
      </c>
      <c r="C611" s="43" t="s">
        <v>65</v>
      </c>
      <c r="D611" s="43" t="s">
        <v>351</v>
      </c>
      <c r="E611" s="43"/>
      <c r="F611" s="45">
        <f t="shared" si="86"/>
        <v>70</v>
      </c>
      <c r="G611" s="45">
        <f t="shared" si="86"/>
        <v>70</v>
      </c>
      <c r="H611" s="45">
        <f t="shared" si="86"/>
        <v>70</v>
      </c>
    </row>
    <row r="612" spans="1:8" ht="31.5">
      <c r="A612" s="40" t="s">
        <v>359</v>
      </c>
      <c r="B612" s="43" t="s">
        <v>59</v>
      </c>
      <c r="C612" s="43" t="s">
        <v>65</v>
      </c>
      <c r="D612" s="44" t="s">
        <v>352</v>
      </c>
      <c r="E612" s="43"/>
      <c r="F612" s="45">
        <f>F614+F613</f>
        <v>70</v>
      </c>
      <c r="G612" s="45">
        <f>G614+G613</f>
        <v>70</v>
      </c>
      <c r="H612" s="45">
        <f>H614+H613</f>
        <v>70</v>
      </c>
    </row>
    <row r="613" spans="1:8" ht="31.5">
      <c r="A613" s="40" t="s">
        <v>96</v>
      </c>
      <c r="B613" s="43" t="s">
        <v>59</v>
      </c>
      <c r="C613" s="43" t="s">
        <v>65</v>
      </c>
      <c r="D613" s="44" t="s">
        <v>352</v>
      </c>
      <c r="E613" s="43" t="s">
        <v>97</v>
      </c>
      <c r="F613" s="45">
        <v>16.5</v>
      </c>
      <c r="G613" s="45">
        <v>16.5</v>
      </c>
      <c r="H613" s="45">
        <v>16.5</v>
      </c>
    </row>
    <row r="614" spans="1:8" ht="47.25">
      <c r="A614" s="40" t="s">
        <v>20</v>
      </c>
      <c r="B614" s="43" t="s">
        <v>59</v>
      </c>
      <c r="C614" s="43" t="s">
        <v>65</v>
      </c>
      <c r="D614" s="44" t="s">
        <v>353</v>
      </c>
      <c r="E614" s="43" t="s">
        <v>100</v>
      </c>
      <c r="F614" s="45">
        <v>53.5</v>
      </c>
      <c r="G614" s="45">
        <v>53.5</v>
      </c>
      <c r="H614" s="45">
        <v>53.5</v>
      </c>
    </row>
    <row r="615" spans="1:8" ht="47.25">
      <c r="A615" s="40" t="s">
        <v>713</v>
      </c>
      <c r="B615" s="43" t="s">
        <v>59</v>
      </c>
      <c r="C615" s="43" t="s">
        <v>65</v>
      </c>
      <c r="D615" s="43" t="s">
        <v>374</v>
      </c>
      <c r="E615" s="43"/>
      <c r="F615" s="59">
        <f>F616</f>
        <v>550</v>
      </c>
      <c r="G615" s="59">
        <f>G616</f>
        <v>550</v>
      </c>
      <c r="H615" s="59">
        <f>H616</f>
        <v>550</v>
      </c>
    </row>
    <row r="616" spans="1:8" ht="63">
      <c r="A616" s="40" t="s">
        <v>298</v>
      </c>
      <c r="B616" s="43" t="s">
        <v>59</v>
      </c>
      <c r="C616" s="43" t="s">
        <v>65</v>
      </c>
      <c r="D616" s="43" t="s">
        <v>299</v>
      </c>
      <c r="E616" s="43"/>
      <c r="F616" s="45">
        <f>F617+F619+F621+F623+F625</f>
        <v>550</v>
      </c>
      <c r="G616" s="45">
        <f>G617+G619+G621+G623+G625</f>
        <v>550</v>
      </c>
      <c r="H616" s="45">
        <f>H617+H619+H621+H623+H625</f>
        <v>550</v>
      </c>
    </row>
    <row r="617" spans="1:8" ht="15.75">
      <c r="A617" s="40" t="s">
        <v>113</v>
      </c>
      <c r="B617" s="43" t="s">
        <v>59</v>
      </c>
      <c r="C617" s="43" t="s">
        <v>65</v>
      </c>
      <c r="D617" s="43" t="s">
        <v>300</v>
      </c>
      <c r="E617" s="43"/>
      <c r="F617" s="45">
        <f>F618</f>
        <v>125</v>
      </c>
      <c r="G617" s="45">
        <f>G618</f>
        <v>125</v>
      </c>
      <c r="H617" s="45">
        <f>H618</f>
        <v>125</v>
      </c>
    </row>
    <row r="618" spans="1:8" ht="15.75">
      <c r="A618" s="40" t="s">
        <v>110</v>
      </c>
      <c r="B618" s="43" t="s">
        <v>59</v>
      </c>
      <c r="C618" s="43" t="s">
        <v>65</v>
      </c>
      <c r="D618" s="43" t="s">
        <v>300</v>
      </c>
      <c r="E618" s="43" t="s">
        <v>111</v>
      </c>
      <c r="F618" s="45">
        <v>125</v>
      </c>
      <c r="G618" s="45">
        <v>125</v>
      </c>
      <c r="H618" s="45">
        <v>125</v>
      </c>
    </row>
    <row r="619" spans="1:8" ht="15.75">
      <c r="A619" s="40" t="s">
        <v>109</v>
      </c>
      <c r="B619" s="43" t="s">
        <v>59</v>
      </c>
      <c r="C619" s="43" t="s">
        <v>65</v>
      </c>
      <c r="D619" s="43" t="s">
        <v>301</v>
      </c>
      <c r="E619" s="43"/>
      <c r="F619" s="45">
        <f>F620</f>
        <v>20</v>
      </c>
      <c r="G619" s="45">
        <f>G620</f>
        <v>20</v>
      </c>
      <c r="H619" s="45">
        <f>H620</f>
        <v>20</v>
      </c>
    </row>
    <row r="620" spans="1:8" ht="15.75">
      <c r="A620" s="40" t="s">
        <v>110</v>
      </c>
      <c r="B620" s="43" t="s">
        <v>59</v>
      </c>
      <c r="C620" s="43" t="s">
        <v>65</v>
      </c>
      <c r="D620" s="43" t="s">
        <v>301</v>
      </c>
      <c r="E620" s="43" t="s">
        <v>111</v>
      </c>
      <c r="F620" s="45">
        <v>20</v>
      </c>
      <c r="G620" s="45">
        <v>20</v>
      </c>
      <c r="H620" s="45">
        <v>20</v>
      </c>
    </row>
    <row r="621" spans="1:8" ht="31.5">
      <c r="A621" s="40" t="s">
        <v>114</v>
      </c>
      <c r="B621" s="43" t="s">
        <v>59</v>
      </c>
      <c r="C621" s="43" t="s">
        <v>65</v>
      </c>
      <c r="D621" s="43" t="s">
        <v>302</v>
      </c>
      <c r="E621" s="43"/>
      <c r="F621" s="45">
        <f>F622</f>
        <v>231</v>
      </c>
      <c r="G621" s="45">
        <f>G622</f>
        <v>231</v>
      </c>
      <c r="H621" s="45">
        <f>H622</f>
        <v>231</v>
      </c>
    </row>
    <row r="622" spans="1:8" ht="15.75">
      <c r="A622" s="40" t="s">
        <v>110</v>
      </c>
      <c r="B622" s="43" t="s">
        <v>59</v>
      </c>
      <c r="C622" s="43" t="s">
        <v>65</v>
      </c>
      <c r="D622" s="43" t="s">
        <v>302</v>
      </c>
      <c r="E622" s="43" t="s">
        <v>111</v>
      </c>
      <c r="F622" s="45">
        <v>231</v>
      </c>
      <c r="G622" s="45">
        <v>231</v>
      </c>
      <c r="H622" s="45">
        <v>231</v>
      </c>
    </row>
    <row r="623" spans="1:8" ht="15.75">
      <c r="A623" s="37" t="s">
        <v>150</v>
      </c>
      <c r="B623" s="43" t="s">
        <v>59</v>
      </c>
      <c r="C623" s="43" t="s">
        <v>65</v>
      </c>
      <c r="D623" s="43" t="s">
        <v>303</v>
      </c>
      <c r="E623" s="43"/>
      <c r="F623" s="45">
        <f>F624</f>
        <v>124</v>
      </c>
      <c r="G623" s="45">
        <f>G624</f>
        <v>124</v>
      </c>
      <c r="H623" s="45">
        <f>H624</f>
        <v>124</v>
      </c>
    </row>
    <row r="624" spans="1:8" ht="15.75">
      <c r="A624" s="40" t="s">
        <v>110</v>
      </c>
      <c r="B624" s="43" t="s">
        <v>59</v>
      </c>
      <c r="C624" s="43" t="s">
        <v>65</v>
      </c>
      <c r="D624" s="43" t="s">
        <v>303</v>
      </c>
      <c r="E624" s="43" t="s">
        <v>111</v>
      </c>
      <c r="F624" s="59">
        <v>124</v>
      </c>
      <c r="G624" s="45">
        <v>124</v>
      </c>
      <c r="H624" s="45">
        <v>124</v>
      </c>
    </row>
    <row r="625" spans="1:8" ht="31.5">
      <c r="A625" s="40" t="s">
        <v>291</v>
      </c>
      <c r="B625" s="43" t="s">
        <v>59</v>
      </c>
      <c r="C625" s="43" t="s">
        <v>65</v>
      </c>
      <c r="D625" s="43" t="s">
        <v>306</v>
      </c>
      <c r="E625" s="43"/>
      <c r="F625" s="45">
        <f>F626</f>
        <v>50</v>
      </c>
      <c r="G625" s="45">
        <f>G626</f>
        <v>50</v>
      </c>
      <c r="H625" s="45">
        <f>H626</f>
        <v>50</v>
      </c>
    </row>
    <row r="626" spans="1:8" ht="47.25">
      <c r="A626" s="40" t="s">
        <v>20</v>
      </c>
      <c r="B626" s="43" t="s">
        <v>59</v>
      </c>
      <c r="C626" s="43" t="s">
        <v>65</v>
      </c>
      <c r="D626" s="43" t="s">
        <v>306</v>
      </c>
      <c r="E626" s="43" t="s">
        <v>100</v>
      </c>
      <c r="F626" s="45">
        <v>50</v>
      </c>
      <c r="G626" s="45">
        <v>50</v>
      </c>
      <c r="H626" s="45">
        <v>50</v>
      </c>
    </row>
    <row r="627" spans="1:8" ht="37.5" customHeight="1">
      <c r="A627" s="37" t="s">
        <v>738</v>
      </c>
      <c r="B627" s="43" t="s">
        <v>59</v>
      </c>
      <c r="C627" s="43" t="s">
        <v>65</v>
      </c>
      <c r="D627" s="43" t="s">
        <v>132</v>
      </c>
      <c r="E627" s="43"/>
      <c r="F627" s="45">
        <f aca="true" t="shared" si="87" ref="F627:H630">F628</f>
        <v>112</v>
      </c>
      <c r="G627" s="45">
        <f t="shared" si="87"/>
        <v>112</v>
      </c>
      <c r="H627" s="45">
        <f t="shared" si="87"/>
        <v>112</v>
      </c>
    </row>
    <row r="628" spans="1:8" ht="31.5">
      <c r="A628" s="37" t="s">
        <v>233</v>
      </c>
      <c r="B628" s="43" t="s">
        <v>59</v>
      </c>
      <c r="C628" s="43" t="s">
        <v>65</v>
      </c>
      <c r="D628" s="43" t="s">
        <v>241</v>
      </c>
      <c r="E628" s="43"/>
      <c r="F628" s="45">
        <f t="shared" si="87"/>
        <v>112</v>
      </c>
      <c r="G628" s="45">
        <f t="shared" si="87"/>
        <v>112</v>
      </c>
      <c r="H628" s="45">
        <f t="shared" si="87"/>
        <v>112</v>
      </c>
    </row>
    <row r="629" spans="1:8" ht="63">
      <c r="A629" s="40" t="s">
        <v>237</v>
      </c>
      <c r="B629" s="43" t="s">
        <v>59</v>
      </c>
      <c r="C629" s="43" t="s">
        <v>65</v>
      </c>
      <c r="D629" s="43" t="s">
        <v>239</v>
      </c>
      <c r="E629" s="43"/>
      <c r="F629" s="45">
        <f t="shared" si="87"/>
        <v>112</v>
      </c>
      <c r="G629" s="45">
        <f t="shared" si="87"/>
        <v>112</v>
      </c>
      <c r="H629" s="45">
        <f t="shared" si="87"/>
        <v>112</v>
      </c>
    </row>
    <row r="630" spans="1:8" ht="15.75">
      <c r="A630" s="107" t="s">
        <v>220</v>
      </c>
      <c r="B630" s="43" t="s">
        <v>59</v>
      </c>
      <c r="C630" s="43" t="s">
        <v>65</v>
      </c>
      <c r="D630" s="43" t="s">
        <v>238</v>
      </c>
      <c r="E630" s="43"/>
      <c r="F630" s="45">
        <f t="shared" si="87"/>
        <v>112</v>
      </c>
      <c r="G630" s="45">
        <f t="shared" si="87"/>
        <v>112</v>
      </c>
      <c r="H630" s="45">
        <f t="shared" si="87"/>
        <v>112</v>
      </c>
    </row>
    <row r="631" spans="1:8" ht="15.75">
      <c r="A631" s="107" t="s">
        <v>146</v>
      </c>
      <c r="B631" s="43" t="s">
        <v>59</v>
      </c>
      <c r="C631" s="43" t="s">
        <v>65</v>
      </c>
      <c r="D631" s="43" t="s">
        <v>238</v>
      </c>
      <c r="E631" s="43" t="s">
        <v>145</v>
      </c>
      <c r="F631" s="45">
        <v>112</v>
      </c>
      <c r="G631" s="45">
        <v>112</v>
      </c>
      <c r="H631" s="45">
        <v>112</v>
      </c>
    </row>
    <row r="632" spans="1:8" ht="15.75">
      <c r="A632" s="50" t="s">
        <v>360</v>
      </c>
      <c r="B632" s="46" t="s">
        <v>81</v>
      </c>
      <c r="C632" s="46"/>
      <c r="D632" s="46"/>
      <c r="E632" s="46"/>
      <c r="F632" s="93">
        <f>F633+F698</f>
        <v>85017.5</v>
      </c>
      <c r="G632" s="93">
        <f>G633+G698</f>
        <v>59972.100000000006</v>
      </c>
      <c r="H632" s="93">
        <f>H633+H698</f>
        <v>60090.7</v>
      </c>
    </row>
    <row r="633" spans="1:8" ht="15.75">
      <c r="A633" s="40" t="s">
        <v>361</v>
      </c>
      <c r="B633" s="43" t="s">
        <v>81</v>
      </c>
      <c r="C633" s="43" t="s">
        <v>51</v>
      </c>
      <c r="D633" s="43"/>
      <c r="E633" s="43"/>
      <c r="F633" s="45">
        <f>F634+F694</f>
        <v>85017.5</v>
      </c>
      <c r="G633" s="45">
        <f>G634+G694</f>
        <v>59972.100000000006</v>
      </c>
      <c r="H633" s="45">
        <f>H634+H694</f>
        <v>60090.7</v>
      </c>
    </row>
    <row r="634" spans="1:8" ht="63">
      <c r="A634" s="40" t="s">
        <v>724</v>
      </c>
      <c r="B634" s="43" t="s">
        <v>81</v>
      </c>
      <c r="C634" s="43" t="s">
        <v>51</v>
      </c>
      <c r="D634" s="43" t="s">
        <v>174</v>
      </c>
      <c r="E634" s="43"/>
      <c r="F634" s="45">
        <f>F635+F644+F663+F672</f>
        <v>85017.5</v>
      </c>
      <c r="G634" s="45">
        <f>G635+G644+G663+G672</f>
        <v>59972.100000000006</v>
      </c>
      <c r="H634" s="45">
        <f>H635+H644+H663+H672</f>
        <v>60090.7</v>
      </c>
    </row>
    <row r="635" spans="1:8" ht="15.75">
      <c r="A635" s="40" t="s">
        <v>362</v>
      </c>
      <c r="B635" s="43" t="s">
        <v>81</v>
      </c>
      <c r="C635" s="43" t="s">
        <v>51</v>
      </c>
      <c r="D635" s="43" t="s">
        <v>178</v>
      </c>
      <c r="E635" s="43"/>
      <c r="F635" s="45">
        <f>F636+F641</f>
        <v>7097.999999999999</v>
      </c>
      <c r="G635" s="45">
        <f>G636</f>
        <v>2917.5</v>
      </c>
      <c r="H635" s="45">
        <f>H636</f>
        <v>3036.1</v>
      </c>
    </row>
    <row r="636" spans="1:8" ht="47.25">
      <c r="A636" s="40" t="s">
        <v>177</v>
      </c>
      <c r="B636" s="43" t="s">
        <v>81</v>
      </c>
      <c r="C636" s="43" t="s">
        <v>51</v>
      </c>
      <c r="D636" s="43" t="s">
        <v>179</v>
      </c>
      <c r="E636" s="43"/>
      <c r="F636" s="45">
        <f>F637+F639</f>
        <v>2758.2</v>
      </c>
      <c r="G636" s="45">
        <f>G637+G639</f>
        <v>2917.5</v>
      </c>
      <c r="H636" s="45">
        <f>H637+H639</f>
        <v>3036.1</v>
      </c>
    </row>
    <row r="637" spans="1:8" ht="15.75">
      <c r="A637" s="40" t="s">
        <v>363</v>
      </c>
      <c r="B637" s="43" t="s">
        <v>81</v>
      </c>
      <c r="C637" s="43" t="s">
        <v>51</v>
      </c>
      <c r="D637" s="43" t="s">
        <v>180</v>
      </c>
      <c r="E637" s="43"/>
      <c r="F637" s="45">
        <f>F638</f>
        <v>1816.3999999999999</v>
      </c>
      <c r="G637" s="45">
        <f>G638</f>
        <v>1859.8</v>
      </c>
      <c r="H637" s="45">
        <f>H638</f>
        <v>1859.8</v>
      </c>
    </row>
    <row r="638" spans="1:8" ht="15.75">
      <c r="A638" s="40" t="s">
        <v>110</v>
      </c>
      <c r="B638" s="43" t="s">
        <v>81</v>
      </c>
      <c r="C638" s="43" t="s">
        <v>51</v>
      </c>
      <c r="D638" s="43" t="s">
        <v>180</v>
      </c>
      <c r="E638" s="43" t="s">
        <v>111</v>
      </c>
      <c r="F638" s="45">
        <f>1859.8-43.4</f>
        <v>1816.3999999999999</v>
      </c>
      <c r="G638" s="45">
        <v>1859.8</v>
      </c>
      <c r="H638" s="45">
        <v>1859.8</v>
      </c>
    </row>
    <row r="639" spans="1:8" ht="47.25">
      <c r="A639" s="40" t="s">
        <v>462</v>
      </c>
      <c r="B639" s="43" t="s">
        <v>81</v>
      </c>
      <c r="C639" s="43" t="s">
        <v>51</v>
      </c>
      <c r="D639" s="43" t="s">
        <v>466</v>
      </c>
      <c r="E639" s="43"/>
      <c r="F639" s="59">
        <f>F640</f>
        <v>941.8</v>
      </c>
      <c r="G639" s="59">
        <f>G640</f>
        <v>1057.7</v>
      </c>
      <c r="H639" s="59">
        <f>H640</f>
        <v>1176.3</v>
      </c>
    </row>
    <row r="640" spans="1:8" ht="15.75">
      <c r="A640" s="40" t="s">
        <v>110</v>
      </c>
      <c r="B640" s="43" t="s">
        <v>81</v>
      </c>
      <c r="C640" s="43" t="s">
        <v>51</v>
      </c>
      <c r="D640" s="43" t="s">
        <v>466</v>
      </c>
      <c r="E640" s="43" t="s">
        <v>111</v>
      </c>
      <c r="F640" s="59">
        <v>941.8</v>
      </c>
      <c r="G640" s="94">
        <v>1057.7</v>
      </c>
      <c r="H640" s="94">
        <v>1176.3</v>
      </c>
    </row>
    <row r="641" spans="1:8" ht="31.5">
      <c r="A641" s="40" t="s">
        <v>444</v>
      </c>
      <c r="B641" s="43" t="s">
        <v>81</v>
      </c>
      <c r="C641" s="43" t="s">
        <v>51</v>
      </c>
      <c r="D641" s="43" t="s">
        <v>961</v>
      </c>
      <c r="E641" s="43"/>
      <c r="F641" s="59">
        <f>F642</f>
        <v>4339.799999999999</v>
      </c>
      <c r="G641" s="94"/>
      <c r="H641" s="94"/>
    </row>
    <row r="642" spans="1:8" ht="31.5">
      <c r="A642" s="40" t="s">
        <v>962</v>
      </c>
      <c r="B642" s="43" t="s">
        <v>81</v>
      </c>
      <c r="C642" s="43" t="s">
        <v>51</v>
      </c>
      <c r="D642" s="43" t="s">
        <v>963</v>
      </c>
      <c r="E642" s="43"/>
      <c r="F642" s="59">
        <f>F643</f>
        <v>4339.799999999999</v>
      </c>
      <c r="G642" s="94"/>
      <c r="H642" s="94"/>
    </row>
    <row r="643" spans="1:8" ht="15.75">
      <c r="A643" s="40" t="s">
        <v>110</v>
      </c>
      <c r="B643" s="43" t="s">
        <v>81</v>
      </c>
      <c r="C643" s="43" t="s">
        <v>51</v>
      </c>
      <c r="D643" s="43" t="s">
        <v>963</v>
      </c>
      <c r="E643" s="43" t="s">
        <v>111</v>
      </c>
      <c r="F643" s="59">
        <f>4296.4+43.4</f>
        <v>4339.799999999999</v>
      </c>
      <c r="G643" s="94"/>
      <c r="H643" s="94"/>
    </row>
    <row r="644" spans="1:8" ht="15.75">
      <c r="A644" s="40" t="s">
        <v>182</v>
      </c>
      <c r="B644" s="43" t="s">
        <v>81</v>
      </c>
      <c r="C644" s="43" t="s">
        <v>51</v>
      </c>
      <c r="D644" s="43" t="s">
        <v>6</v>
      </c>
      <c r="E644" s="43"/>
      <c r="F644" s="45">
        <f>F645+F650+F655+F660</f>
        <v>23229.2</v>
      </c>
      <c r="G644" s="45">
        <f>G645+G650+G655</f>
        <v>19280.2</v>
      </c>
      <c r="H644" s="45">
        <f>H645+H650+H655</f>
        <v>19280.2</v>
      </c>
    </row>
    <row r="645" spans="1:8" ht="47.25">
      <c r="A645" s="40" t="s">
        <v>181</v>
      </c>
      <c r="B645" s="43" t="s">
        <v>81</v>
      </c>
      <c r="C645" s="43" t="s">
        <v>51</v>
      </c>
      <c r="D645" s="43" t="s">
        <v>7</v>
      </c>
      <c r="E645" s="43"/>
      <c r="F645" s="45">
        <f>F646+F648</f>
        <v>18863.3</v>
      </c>
      <c r="G645" s="45">
        <f>G646+G648</f>
        <v>18902.2</v>
      </c>
      <c r="H645" s="45">
        <f>H646+H648</f>
        <v>18902.2</v>
      </c>
    </row>
    <row r="646" spans="1:8" ht="15.75">
      <c r="A646" s="40" t="s">
        <v>183</v>
      </c>
      <c r="B646" s="43" t="s">
        <v>81</v>
      </c>
      <c r="C646" s="43" t="s">
        <v>51</v>
      </c>
      <c r="D646" s="43" t="s">
        <v>8</v>
      </c>
      <c r="E646" s="43"/>
      <c r="F646" s="45">
        <f>F647</f>
        <v>13086.6</v>
      </c>
      <c r="G646" s="45">
        <f>G647</f>
        <v>12391.900000000001</v>
      </c>
      <c r="H646" s="45">
        <f>H647</f>
        <v>11641.2</v>
      </c>
    </row>
    <row r="647" spans="1:8" ht="15.75">
      <c r="A647" s="40" t="s">
        <v>110</v>
      </c>
      <c r="B647" s="43" t="s">
        <v>81</v>
      </c>
      <c r="C647" s="43" t="s">
        <v>51</v>
      </c>
      <c r="D647" s="43" t="s">
        <v>8</v>
      </c>
      <c r="E647" s="43" t="s">
        <v>111</v>
      </c>
      <c r="F647" s="94">
        <f>18940-5776.7-13.9-37.8-25</f>
        <v>13086.6</v>
      </c>
      <c r="G647" s="45">
        <f>18940-6510.3-37.8</f>
        <v>12391.900000000001</v>
      </c>
      <c r="H647" s="45">
        <f>18940-7261-37.8</f>
        <v>11641.2</v>
      </c>
    </row>
    <row r="648" spans="1:8" ht="47.25">
      <c r="A648" s="40" t="s">
        <v>462</v>
      </c>
      <c r="B648" s="43" t="s">
        <v>81</v>
      </c>
      <c r="C648" s="43" t="s">
        <v>51</v>
      </c>
      <c r="D648" s="43" t="s">
        <v>467</v>
      </c>
      <c r="E648" s="43"/>
      <c r="F648" s="59">
        <f>F649</f>
        <v>5776.7</v>
      </c>
      <c r="G648" s="59">
        <f>G649</f>
        <v>6510.3</v>
      </c>
      <c r="H648" s="59">
        <f>H649</f>
        <v>7261</v>
      </c>
    </row>
    <row r="649" spans="1:8" ht="15.75">
      <c r="A649" s="40" t="s">
        <v>110</v>
      </c>
      <c r="B649" s="43" t="s">
        <v>81</v>
      </c>
      <c r="C649" s="43" t="s">
        <v>51</v>
      </c>
      <c r="D649" s="43" t="s">
        <v>467</v>
      </c>
      <c r="E649" s="43" t="s">
        <v>111</v>
      </c>
      <c r="F649" s="59">
        <v>5776.7</v>
      </c>
      <c r="G649" s="94">
        <v>6510.3</v>
      </c>
      <c r="H649" s="94">
        <v>7261</v>
      </c>
    </row>
    <row r="650" spans="1:8" ht="31.5">
      <c r="A650" s="40" t="s">
        <v>725</v>
      </c>
      <c r="B650" s="43" t="s">
        <v>81</v>
      </c>
      <c r="C650" s="43" t="s">
        <v>51</v>
      </c>
      <c r="D650" s="43" t="s">
        <v>170</v>
      </c>
      <c r="E650" s="43"/>
      <c r="F650" s="45">
        <f>F653+F651</f>
        <v>378</v>
      </c>
      <c r="G650" s="45">
        <f>G653+G651</f>
        <v>378</v>
      </c>
      <c r="H650" s="45">
        <f>H653+H651</f>
        <v>378</v>
      </c>
    </row>
    <row r="651" spans="1:8" ht="63" hidden="1">
      <c r="A651" s="40" t="s">
        <v>557</v>
      </c>
      <c r="B651" s="43" t="s">
        <v>81</v>
      </c>
      <c r="C651" s="43" t="s">
        <v>51</v>
      </c>
      <c r="D651" s="43" t="s">
        <v>558</v>
      </c>
      <c r="E651" s="43"/>
      <c r="F651" s="59">
        <f>F652</f>
        <v>0</v>
      </c>
      <c r="G651" s="59">
        <f>G652</f>
        <v>0</v>
      </c>
      <c r="H651" s="59">
        <f>H652</f>
        <v>0</v>
      </c>
    </row>
    <row r="652" spans="1:8" ht="15.75" hidden="1">
      <c r="A652" s="40" t="s">
        <v>110</v>
      </c>
      <c r="B652" s="43" t="s">
        <v>81</v>
      </c>
      <c r="C652" s="43" t="s">
        <v>51</v>
      </c>
      <c r="D652" s="43" t="s">
        <v>558</v>
      </c>
      <c r="E652" s="43" t="s">
        <v>111</v>
      </c>
      <c r="F652" s="59">
        <v>0</v>
      </c>
      <c r="G652" s="59">
        <v>0</v>
      </c>
      <c r="H652" s="59">
        <v>0</v>
      </c>
    </row>
    <row r="653" spans="1:8" ht="31.5">
      <c r="A653" s="40" t="s">
        <v>1015</v>
      </c>
      <c r="B653" s="43" t="s">
        <v>81</v>
      </c>
      <c r="C653" s="43" t="s">
        <v>51</v>
      </c>
      <c r="D653" s="43" t="s">
        <v>729</v>
      </c>
      <c r="E653" s="43"/>
      <c r="F653" s="59">
        <f>F654</f>
        <v>378</v>
      </c>
      <c r="G653" s="59">
        <f>G654</f>
        <v>378</v>
      </c>
      <c r="H653" s="59">
        <f>H654</f>
        <v>378</v>
      </c>
    </row>
    <row r="654" spans="1:8" ht="15.75">
      <c r="A654" s="40" t="s">
        <v>110</v>
      </c>
      <c r="B654" s="43" t="s">
        <v>81</v>
      </c>
      <c r="C654" s="43" t="s">
        <v>51</v>
      </c>
      <c r="D654" s="43" t="s">
        <v>729</v>
      </c>
      <c r="E654" s="43" t="s">
        <v>111</v>
      </c>
      <c r="F654" s="59">
        <v>378</v>
      </c>
      <c r="G654" s="59">
        <v>378</v>
      </c>
      <c r="H654" s="59">
        <v>378</v>
      </c>
    </row>
    <row r="655" spans="1:8" ht="47.25">
      <c r="A655" s="40" t="s">
        <v>450</v>
      </c>
      <c r="B655" s="43" t="s">
        <v>81</v>
      </c>
      <c r="C655" s="43" t="s">
        <v>51</v>
      </c>
      <c r="D655" s="43" t="s">
        <v>726</v>
      </c>
      <c r="E655" s="43"/>
      <c r="F655" s="145">
        <f>F658+F656</f>
        <v>3883.7000000000003</v>
      </c>
      <c r="G655" s="145">
        <f>G658</f>
        <v>0</v>
      </c>
      <c r="H655" s="145">
        <f>H658</f>
        <v>0</v>
      </c>
    </row>
    <row r="656" spans="1:8" ht="31.5">
      <c r="A656" s="40" t="s">
        <v>733</v>
      </c>
      <c r="B656" s="43" t="s">
        <v>81</v>
      </c>
      <c r="C656" s="43" t="s">
        <v>51</v>
      </c>
      <c r="D656" s="43" t="s">
        <v>732</v>
      </c>
      <c r="E656" s="43"/>
      <c r="F656" s="145">
        <f>F657</f>
        <v>2497.3</v>
      </c>
      <c r="G656" s="145"/>
      <c r="H656" s="145"/>
    </row>
    <row r="657" spans="1:8" ht="15.75">
      <c r="A657" s="40" t="s">
        <v>110</v>
      </c>
      <c r="B657" s="43" t="s">
        <v>81</v>
      </c>
      <c r="C657" s="43" t="s">
        <v>51</v>
      </c>
      <c r="D657" s="43" t="s">
        <v>732</v>
      </c>
      <c r="E657" s="43" t="s">
        <v>111</v>
      </c>
      <c r="F657" s="145">
        <f>2472.3+25</f>
        <v>2497.3</v>
      </c>
      <c r="G657" s="145"/>
      <c r="H657" s="145"/>
    </row>
    <row r="658" spans="1:8" ht="47.25">
      <c r="A658" s="40" t="s">
        <v>731</v>
      </c>
      <c r="B658" s="43" t="s">
        <v>81</v>
      </c>
      <c r="C658" s="43" t="s">
        <v>51</v>
      </c>
      <c r="D658" s="43" t="s">
        <v>730</v>
      </c>
      <c r="E658" s="43"/>
      <c r="F658" s="145">
        <f>F659</f>
        <v>1386.4</v>
      </c>
      <c r="G658" s="145">
        <f>G659</f>
        <v>0</v>
      </c>
      <c r="H658" s="145">
        <f>H659</f>
        <v>0</v>
      </c>
    </row>
    <row r="659" spans="1:8" ht="15.75">
      <c r="A659" s="40" t="s">
        <v>110</v>
      </c>
      <c r="B659" s="43" t="s">
        <v>81</v>
      </c>
      <c r="C659" s="43" t="s">
        <v>51</v>
      </c>
      <c r="D659" s="43" t="s">
        <v>730</v>
      </c>
      <c r="E659" s="43" t="s">
        <v>111</v>
      </c>
      <c r="F659" s="145">
        <f>1372.5+13.9</f>
        <v>1386.4</v>
      </c>
      <c r="G659" s="145">
        <v>0</v>
      </c>
      <c r="H659" s="145">
        <v>0</v>
      </c>
    </row>
    <row r="660" spans="1:8" ht="38.25" customHeight="1">
      <c r="A660" s="40" t="s">
        <v>575</v>
      </c>
      <c r="B660" s="43" t="s">
        <v>81</v>
      </c>
      <c r="C660" s="43" t="s">
        <v>51</v>
      </c>
      <c r="D660" s="43" t="s">
        <v>576</v>
      </c>
      <c r="E660" s="43"/>
      <c r="F660" s="59">
        <f>F661</f>
        <v>104.2</v>
      </c>
      <c r="G660" s="45"/>
      <c r="H660" s="45"/>
    </row>
    <row r="661" spans="1:8" ht="56.25" customHeight="1">
      <c r="A661" s="40" t="s">
        <v>574</v>
      </c>
      <c r="B661" s="43" t="s">
        <v>81</v>
      </c>
      <c r="C661" s="43" t="s">
        <v>51</v>
      </c>
      <c r="D661" s="43" t="s">
        <v>577</v>
      </c>
      <c r="E661" s="43"/>
      <c r="F661" s="59">
        <f>F662</f>
        <v>104.2</v>
      </c>
      <c r="G661" s="45"/>
      <c r="H661" s="45"/>
    </row>
    <row r="662" spans="1:8" ht="22.5" customHeight="1">
      <c r="A662" s="40" t="s">
        <v>110</v>
      </c>
      <c r="B662" s="43" t="s">
        <v>81</v>
      </c>
      <c r="C662" s="43" t="s">
        <v>51</v>
      </c>
      <c r="D662" s="43" t="s">
        <v>577</v>
      </c>
      <c r="E662" s="43" t="s">
        <v>111</v>
      </c>
      <c r="F662" s="59">
        <v>104.2</v>
      </c>
      <c r="G662" s="45"/>
      <c r="H662" s="45"/>
    </row>
    <row r="663" spans="1:8" ht="31.5">
      <c r="A663" s="40" t="s">
        <v>184</v>
      </c>
      <c r="B663" s="43" t="s">
        <v>81</v>
      </c>
      <c r="C663" s="43" t="s">
        <v>51</v>
      </c>
      <c r="D663" s="43" t="s">
        <v>10</v>
      </c>
      <c r="E663" s="43"/>
      <c r="F663" s="45">
        <f>F664+F669</f>
        <v>13129.3</v>
      </c>
      <c r="G663" s="45">
        <f>G664</f>
        <v>7960</v>
      </c>
      <c r="H663" s="45">
        <f>H664</f>
        <v>7960</v>
      </c>
    </row>
    <row r="664" spans="1:8" ht="47.25">
      <c r="A664" s="40" t="s">
        <v>9</v>
      </c>
      <c r="B664" s="43" t="s">
        <v>81</v>
      </c>
      <c r="C664" s="43" t="s">
        <v>51</v>
      </c>
      <c r="D664" s="43" t="s">
        <v>11</v>
      </c>
      <c r="E664" s="43"/>
      <c r="F664" s="45">
        <f>F665+F667</f>
        <v>7907.8</v>
      </c>
      <c r="G664" s="45">
        <f>G665+G667</f>
        <v>7960</v>
      </c>
      <c r="H664" s="45">
        <f>H665+H667</f>
        <v>7960</v>
      </c>
    </row>
    <row r="665" spans="1:8" ht="31.5">
      <c r="A665" s="40" t="s">
        <v>23</v>
      </c>
      <c r="B665" s="43" t="s">
        <v>81</v>
      </c>
      <c r="C665" s="43" t="s">
        <v>51</v>
      </c>
      <c r="D665" s="43" t="s">
        <v>12</v>
      </c>
      <c r="E665" s="43"/>
      <c r="F665" s="45">
        <f>F666</f>
        <v>5383</v>
      </c>
      <c r="G665" s="45">
        <f>G666</f>
        <v>5145.4</v>
      </c>
      <c r="H665" s="45">
        <f>H666</f>
        <v>4848.9</v>
      </c>
    </row>
    <row r="666" spans="1:8" ht="15.75">
      <c r="A666" s="40" t="s">
        <v>110</v>
      </c>
      <c r="B666" s="43" t="s">
        <v>81</v>
      </c>
      <c r="C666" s="43" t="s">
        <v>51</v>
      </c>
      <c r="D666" s="43" t="s">
        <v>12</v>
      </c>
      <c r="E666" s="43" t="s">
        <v>111</v>
      </c>
      <c r="F666" s="45">
        <f>7960-2524.8-52.2</f>
        <v>5383</v>
      </c>
      <c r="G666" s="45">
        <f>7960-2814.6</f>
        <v>5145.4</v>
      </c>
      <c r="H666" s="45">
        <f>7960-3111.1</f>
        <v>4848.9</v>
      </c>
    </row>
    <row r="667" spans="1:8" ht="47.25">
      <c r="A667" s="40" t="s">
        <v>462</v>
      </c>
      <c r="B667" s="43" t="s">
        <v>81</v>
      </c>
      <c r="C667" s="43" t="s">
        <v>51</v>
      </c>
      <c r="D667" s="43" t="s">
        <v>468</v>
      </c>
      <c r="E667" s="43"/>
      <c r="F667" s="59">
        <f>F668</f>
        <v>2524.8</v>
      </c>
      <c r="G667" s="59">
        <f>G668</f>
        <v>2814.6</v>
      </c>
      <c r="H667" s="59">
        <f>H668</f>
        <v>3111.1</v>
      </c>
    </row>
    <row r="668" spans="1:8" ht="15.75">
      <c r="A668" s="40" t="s">
        <v>110</v>
      </c>
      <c r="B668" s="43" t="s">
        <v>81</v>
      </c>
      <c r="C668" s="43" t="s">
        <v>51</v>
      </c>
      <c r="D668" s="43" t="s">
        <v>468</v>
      </c>
      <c r="E668" s="43" t="s">
        <v>111</v>
      </c>
      <c r="F668" s="59">
        <v>2524.8</v>
      </c>
      <c r="G668" s="94">
        <v>2814.6</v>
      </c>
      <c r="H668" s="94">
        <v>3111.1</v>
      </c>
    </row>
    <row r="669" spans="1:8" ht="31.5">
      <c r="A669" s="40" t="s">
        <v>490</v>
      </c>
      <c r="B669" s="43" t="s">
        <v>81</v>
      </c>
      <c r="C669" s="43" t="s">
        <v>51</v>
      </c>
      <c r="D669" s="43" t="s">
        <v>491</v>
      </c>
      <c r="E669" s="74"/>
      <c r="F669" s="94">
        <f>F670</f>
        <v>5221.5</v>
      </c>
      <c r="G669" s="45"/>
      <c r="H669" s="45"/>
    </row>
    <row r="670" spans="1:8" ht="31.5">
      <c r="A670" s="40" t="s">
        <v>733</v>
      </c>
      <c r="B670" s="43" t="s">
        <v>81</v>
      </c>
      <c r="C670" s="43" t="s">
        <v>51</v>
      </c>
      <c r="D670" s="43" t="s">
        <v>734</v>
      </c>
      <c r="E670" s="74"/>
      <c r="F670" s="94">
        <f>F671</f>
        <v>5221.5</v>
      </c>
      <c r="G670" s="45"/>
      <c r="H670" s="45"/>
    </row>
    <row r="671" spans="1:8" ht="15.75">
      <c r="A671" s="40" t="s">
        <v>110</v>
      </c>
      <c r="B671" s="43" t="s">
        <v>81</v>
      </c>
      <c r="C671" s="43" t="s">
        <v>51</v>
      </c>
      <c r="D671" s="43" t="s">
        <v>734</v>
      </c>
      <c r="E671" s="74" t="s">
        <v>111</v>
      </c>
      <c r="F671" s="94">
        <f>5169.3+52.2</f>
        <v>5221.5</v>
      </c>
      <c r="G671" s="45"/>
      <c r="H671" s="45"/>
    </row>
    <row r="672" spans="1:8" ht="31.5">
      <c r="A672" s="40" t="s">
        <v>186</v>
      </c>
      <c r="B672" s="43" t="s">
        <v>81</v>
      </c>
      <c r="C672" s="43" t="s">
        <v>51</v>
      </c>
      <c r="D672" s="43" t="s">
        <v>13</v>
      </c>
      <c r="E672" s="43"/>
      <c r="F672" s="45">
        <f>F673+F689+F678</f>
        <v>41561</v>
      </c>
      <c r="G672" s="45">
        <f>G673+G689</f>
        <v>29814.4</v>
      </c>
      <c r="H672" s="45">
        <f>H673+H689</f>
        <v>29814.4</v>
      </c>
    </row>
    <row r="673" spans="1:8" ht="47.25">
      <c r="A673" s="40" t="s">
        <v>148</v>
      </c>
      <c r="B673" s="43" t="s">
        <v>81</v>
      </c>
      <c r="C673" s="43" t="s">
        <v>51</v>
      </c>
      <c r="D673" s="43" t="s">
        <v>14</v>
      </c>
      <c r="E673" s="43"/>
      <c r="F673" s="45">
        <f>F674+F676</f>
        <v>29753</v>
      </c>
      <c r="G673" s="45">
        <f>G674+G676</f>
        <v>29814.4</v>
      </c>
      <c r="H673" s="45">
        <f>H674+H676</f>
        <v>29814.4</v>
      </c>
    </row>
    <row r="674" spans="1:8" ht="31.5">
      <c r="A674" s="40" t="s">
        <v>23</v>
      </c>
      <c r="B674" s="43" t="s">
        <v>81</v>
      </c>
      <c r="C674" s="43" t="s">
        <v>51</v>
      </c>
      <c r="D674" s="43" t="s">
        <v>15</v>
      </c>
      <c r="E674" s="43"/>
      <c r="F674" s="45">
        <f>F675</f>
        <v>20927.5</v>
      </c>
      <c r="G674" s="45">
        <f>G675</f>
        <v>19971</v>
      </c>
      <c r="H674" s="45">
        <f>H675</f>
        <v>18929.4</v>
      </c>
    </row>
    <row r="675" spans="1:8" ht="15.75">
      <c r="A675" s="40" t="s">
        <v>110</v>
      </c>
      <c r="B675" s="43" t="s">
        <v>81</v>
      </c>
      <c r="C675" s="43" t="s">
        <v>51</v>
      </c>
      <c r="D675" s="43" t="s">
        <v>15</v>
      </c>
      <c r="E675" s="43" t="s">
        <v>111</v>
      </c>
      <c r="F675" s="45">
        <v>20927.5</v>
      </c>
      <c r="G675" s="45">
        <f>29814.4-9843.4</f>
        <v>19971</v>
      </c>
      <c r="H675" s="45">
        <f>29814.4-10885</f>
        <v>18929.4</v>
      </c>
    </row>
    <row r="676" spans="1:8" ht="47.25">
      <c r="A676" s="40" t="s">
        <v>462</v>
      </c>
      <c r="B676" s="43" t="s">
        <v>81</v>
      </c>
      <c r="C676" s="43" t="s">
        <v>51</v>
      </c>
      <c r="D676" s="43" t="s">
        <v>469</v>
      </c>
      <c r="E676" s="43"/>
      <c r="F676" s="59">
        <f>F677</f>
        <v>8825.5</v>
      </c>
      <c r="G676" s="59">
        <f>G677</f>
        <v>9843.400000000001</v>
      </c>
      <c r="H676" s="59">
        <f>H677</f>
        <v>10885</v>
      </c>
    </row>
    <row r="677" spans="1:8" ht="15.75">
      <c r="A677" s="40" t="s">
        <v>110</v>
      </c>
      <c r="B677" s="43" t="s">
        <v>81</v>
      </c>
      <c r="C677" s="43" t="s">
        <v>51</v>
      </c>
      <c r="D677" s="43" t="s">
        <v>469</v>
      </c>
      <c r="E677" s="43" t="s">
        <v>111</v>
      </c>
      <c r="F677" s="59">
        <f>6931.1+784.1+1110.3</f>
        <v>8825.5</v>
      </c>
      <c r="G677" s="94">
        <f>7789.7+854.5+1199.2</f>
        <v>9843.400000000001</v>
      </c>
      <c r="H677" s="94">
        <f>8668.3+926.5+1290.2</f>
        <v>10885</v>
      </c>
    </row>
    <row r="678" spans="1:8" ht="31.5">
      <c r="A678" s="40" t="s">
        <v>573</v>
      </c>
      <c r="B678" s="43" t="s">
        <v>81</v>
      </c>
      <c r="C678" s="43" t="s">
        <v>51</v>
      </c>
      <c r="D678" s="43" t="s">
        <v>727</v>
      </c>
      <c r="E678" s="43"/>
      <c r="F678" s="59">
        <f>F679+F683+F681+F685+F687</f>
        <v>4868.499999999999</v>
      </c>
      <c r="G678" s="59"/>
      <c r="H678" s="59"/>
    </row>
    <row r="679" spans="1:8" ht="63" hidden="1">
      <c r="A679" s="40" t="s">
        <v>572</v>
      </c>
      <c r="B679" s="43" t="s">
        <v>81</v>
      </c>
      <c r="C679" s="43" t="s">
        <v>51</v>
      </c>
      <c r="D679" s="43" t="s">
        <v>728</v>
      </c>
      <c r="E679" s="43"/>
      <c r="F679" s="59">
        <f>F680</f>
        <v>0</v>
      </c>
      <c r="G679" s="59"/>
      <c r="H679" s="59"/>
    </row>
    <row r="680" spans="1:8" ht="15.75" hidden="1">
      <c r="A680" s="40" t="s">
        <v>110</v>
      </c>
      <c r="B680" s="43" t="s">
        <v>81</v>
      </c>
      <c r="C680" s="43" t="s">
        <v>51</v>
      </c>
      <c r="D680" s="43" t="s">
        <v>728</v>
      </c>
      <c r="E680" s="43" t="s">
        <v>111</v>
      </c>
      <c r="F680" s="59">
        <v>0</v>
      </c>
      <c r="G680" s="59"/>
      <c r="H680" s="59"/>
    </row>
    <row r="681" spans="1:8" ht="31.5">
      <c r="A681" s="40" t="s">
        <v>733</v>
      </c>
      <c r="B681" s="43" t="s">
        <v>81</v>
      </c>
      <c r="C681" s="43" t="s">
        <v>51</v>
      </c>
      <c r="D681" s="43" t="s">
        <v>736</v>
      </c>
      <c r="E681" s="43"/>
      <c r="F681" s="59">
        <f>F682</f>
        <v>1718.7</v>
      </c>
      <c r="G681" s="59"/>
      <c r="H681" s="59"/>
    </row>
    <row r="682" spans="1:8" ht="15.75">
      <c r="A682" s="40" t="s">
        <v>110</v>
      </c>
      <c r="B682" s="43" t="s">
        <v>81</v>
      </c>
      <c r="C682" s="43" t="s">
        <v>51</v>
      </c>
      <c r="D682" s="43" t="s">
        <v>736</v>
      </c>
      <c r="E682" s="43" t="s">
        <v>111</v>
      </c>
      <c r="F682" s="59">
        <f>1701.5+17.2</f>
        <v>1718.7</v>
      </c>
      <c r="G682" s="59"/>
      <c r="H682" s="59"/>
    </row>
    <row r="683" spans="1:8" ht="47.25">
      <c r="A683" s="40" t="s">
        <v>731</v>
      </c>
      <c r="B683" s="43" t="s">
        <v>81</v>
      </c>
      <c r="C683" s="43" t="s">
        <v>51</v>
      </c>
      <c r="D683" s="43" t="s">
        <v>735</v>
      </c>
      <c r="E683" s="43"/>
      <c r="F683" s="59">
        <f>F684</f>
        <v>2271.8999999999996</v>
      </c>
      <c r="G683" s="59">
        <f>G684</f>
        <v>0</v>
      </c>
      <c r="H683" s="59">
        <f>H684</f>
        <v>0</v>
      </c>
    </row>
    <row r="684" spans="1:8" ht="15.75">
      <c r="A684" s="40" t="s">
        <v>110</v>
      </c>
      <c r="B684" s="43" t="s">
        <v>81</v>
      </c>
      <c r="C684" s="43" t="s">
        <v>51</v>
      </c>
      <c r="D684" s="43" t="s">
        <v>735</v>
      </c>
      <c r="E684" s="43" t="s">
        <v>111</v>
      </c>
      <c r="F684" s="59">
        <f>2249.2+22.7</f>
        <v>2271.8999999999996</v>
      </c>
      <c r="G684" s="45">
        <v>0</v>
      </c>
      <c r="H684" s="45">
        <v>0</v>
      </c>
    </row>
    <row r="685" spans="1:8" ht="31.5">
      <c r="A685" s="40" t="s">
        <v>421</v>
      </c>
      <c r="B685" s="43" t="s">
        <v>81</v>
      </c>
      <c r="C685" s="43" t="s">
        <v>51</v>
      </c>
      <c r="D685" s="43" t="s">
        <v>833</v>
      </c>
      <c r="E685" s="74"/>
      <c r="F685" s="59">
        <f>F686</f>
        <v>787.4</v>
      </c>
      <c r="G685" s="45"/>
      <c r="H685" s="45"/>
    </row>
    <row r="686" spans="1:8" ht="15.75">
      <c r="A686" s="40" t="s">
        <v>110</v>
      </c>
      <c r="B686" s="43" t="s">
        <v>81</v>
      </c>
      <c r="C686" s="43" t="s">
        <v>51</v>
      </c>
      <c r="D686" s="43" t="s">
        <v>833</v>
      </c>
      <c r="E686" s="74" t="s">
        <v>111</v>
      </c>
      <c r="F686" s="59">
        <v>787.4</v>
      </c>
      <c r="G686" s="45"/>
      <c r="H686" s="45"/>
    </row>
    <row r="687" spans="1:8" ht="47.25">
      <c r="A687" s="40" t="s">
        <v>422</v>
      </c>
      <c r="B687" s="43" t="s">
        <v>81</v>
      </c>
      <c r="C687" s="43" t="s">
        <v>51</v>
      </c>
      <c r="D687" s="43" t="s">
        <v>834</v>
      </c>
      <c r="E687" s="74"/>
      <c r="F687" s="59">
        <f>F688</f>
        <v>90.5</v>
      </c>
      <c r="G687" s="45"/>
      <c r="H687" s="45"/>
    </row>
    <row r="688" spans="1:8" ht="15.75">
      <c r="A688" s="40" t="s">
        <v>110</v>
      </c>
      <c r="B688" s="43" t="s">
        <v>81</v>
      </c>
      <c r="C688" s="43" t="s">
        <v>51</v>
      </c>
      <c r="D688" s="43" t="s">
        <v>834</v>
      </c>
      <c r="E688" s="74" t="s">
        <v>111</v>
      </c>
      <c r="F688" s="59">
        <v>90.5</v>
      </c>
      <c r="G688" s="45"/>
      <c r="H688" s="45"/>
    </row>
    <row r="689" spans="1:8" ht="31.5">
      <c r="A689" s="40" t="s">
        <v>444</v>
      </c>
      <c r="B689" s="43" t="s">
        <v>81</v>
      </c>
      <c r="C689" s="43" t="s">
        <v>51</v>
      </c>
      <c r="D689" s="43" t="s">
        <v>429</v>
      </c>
      <c r="E689" s="43"/>
      <c r="F689" s="59">
        <f>F692+F690</f>
        <v>6939.5</v>
      </c>
      <c r="G689" s="59">
        <f>G692</f>
        <v>0</v>
      </c>
      <c r="H689" s="59">
        <f>H692</f>
        <v>0</v>
      </c>
    </row>
    <row r="690" spans="1:8" ht="31.5">
      <c r="A690" s="40" t="s">
        <v>1026</v>
      </c>
      <c r="B690" s="43" t="s">
        <v>81</v>
      </c>
      <c r="C690" s="43" t="s">
        <v>51</v>
      </c>
      <c r="D690" s="43" t="s">
        <v>1028</v>
      </c>
      <c r="E690" s="43"/>
      <c r="F690" s="59">
        <f>F691</f>
        <v>1649.5</v>
      </c>
      <c r="G690" s="94"/>
      <c r="H690" s="94"/>
    </row>
    <row r="691" spans="1:8" ht="15.75">
      <c r="A691" s="40" t="s">
        <v>110</v>
      </c>
      <c r="B691" s="43" t="s">
        <v>81</v>
      </c>
      <c r="C691" s="43" t="s">
        <v>51</v>
      </c>
      <c r="D691" s="43" t="s">
        <v>1028</v>
      </c>
      <c r="E691" s="43" t="s">
        <v>111</v>
      </c>
      <c r="F691" s="59">
        <f>70+1580.1-0.6</f>
        <v>1649.5</v>
      </c>
      <c r="G691" s="94"/>
      <c r="H691" s="94"/>
    </row>
    <row r="692" spans="1:8" ht="204.75">
      <c r="A692" s="40" t="s">
        <v>1031</v>
      </c>
      <c r="B692" s="43" t="s">
        <v>81</v>
      </c>
      <c r="C692" s="43" t="s">
        <v>51</v>
      </c>
      <c r="D692" s="43" t="s">
        <v>1027</v>
      </c>
      <c r="E692" s="43"/>
      <c r="F692" s="59">
        <f>F693</f>
        <v>5290</v>
      </c>
      <c r="G692" s="94"/>
      <c r="H692" s="94"/>
    </row>
    <row r="693" spans="1:8" ht="15.75">
      <c r="A693" s="40" t="s">
        <v>110</v>
      </c>
      <c r="B693" s="43" t="s">
        <v>81</v>
      </c>
      <c r="C693" s="43" t="s">
        <v>51</v>
      </c>
      <c r="D693" s="43" t="s">
        <v>1027</v>
      </c>
      <c r="E693" s="43" t="s">
        <v>111</v>
      </c>
      <c r="F693" s="59">
        <v>5290</v>
      </c>
      <c r="G693" s="94"/>
      <c r="H693" s="94"/>
    </row>
    <row r="694" spans="1:8" ht="63" hidden="1">
      <c r="A694" s="40" t="s">
        <v>478</v>
      </c>
      <c r="B694" s="43" t="s">
        <v>81</v>
      </c>
      <c r="C694" s="43" t="s">
        <v>51</v>
      </c>
      <c r="D694" s="43" t="s">
        <v>480</v>
      </c>
      <c r="E694" s="43"/>
      <c r="F694" s="94">
        <f>F695</f>
        <v>0</v>
      </c>
      <c r="G694" s="94">
        <f aca="true" t="shared" si="88" ref="G694:H696">G695</f>
        <v>0</v>
      </c>
      <c r="H694" s="94">
        <f t="shared" si="88"/>
        <v>0</v>
      </c>
    </row>
    <row r="695" spans="1:8" ht="47.25" hidden="1">
      <c r="A695" s="40" t="s">
        <v>479</v>
      </c>
      <c r="B695" s="43" t="s">
        <v>81</v>
      </c>
      <c r="C695" s="43" t="s">
        <v>51</v>
      </c>
      <c r="D695" s="43" t="s">
        <v>481</v>
      </c>
      <c r="E695" s="43"/>
      <c r="F695" s="59">
        <f>F696</f>
        <v>0</v>
      </c>
      <c r="G695" s="59">
        <f t="shared" si="88"/>
        <v>0</v>
      </c>
      <c r="H695" s="59">
        <f t="shared" si="88"/>
        <v>0</v>
      </c>
    </row>
    <row r="696" spans="1:8" ht="31.5" hidden="1">
      <c r="A696" s="40" t="s">
        <v>185</v>
      </c>
      <c r="B696" s="43" t="s">
        <v>81</v>
      </c>
      <c r="C696" s="43" t="s">
        <v>51</v>
      </c>
      <c r="D696" s="43" t="s">
        <v>534</v>
      </c>
      <c r="E696" s="43"/>
      <c r="F696" s="59">
        <f>F697</f>
        <v>0</v>
      </c>
      <c r="G696" s="59">
        <f t="shared" si="88"/>
        <v>0</v>
      </c>
      <c r="H696" s="59">
        <f t="shared" si="88"/>
        <v>0</v>
      </c>
    </row>
    <row r="697" spans="1:8" ht="15.75" hidden="1">
      <c r="A697" s="40" t="s">
        <v>110</v>
      </c>
      <c r="B697" s="43" t="s">
        <v>81</v>
      </c>
      <c r="C697" s="43" t="s">
        <v>51</v>
      </c>
      <c r="D697" s="43" t="s">
        <v>534</v>
      </c>
      <c r="E697" s="43" t="s">
        <v>111</v>
      </c>
      <c r="F697" s="59">
        <v>0</v>
      </c>
      <c r="G697" s="59">
        <v>0</v>
      </c>
      <c r="H697" s="59">
        <v>0</v>
      </c>
    </row>
    <row r="698" spans="1:8" ht="31.5" hidden="1">
      <c r="A698" s="40" t="s">
        <v>522</v>
      </c>
      <c r="B698" s="43" t="s">
        <v>81</v>
      </c>
      <c r="C698" s="43" t="s">
        <v>56</v>
      </c>
      <c r="D698" s="43"/>
      <c r="E698" s="43"/>
      <c r="F698" s="59">
        <f>F699</f>
        <v>0</v>
      </c>
      <c r="G698" s="59">
        <f aca="true" t="shared" si="89" ref="G698:H701">G699</f>
        <v>0</v>
      </c>
      <c r="H698" s="59">
        <f t="shared" si="89"/>
        <v>0</v>
      </c>
    </row>
    <row r="699" spans="1:8" ht="55.5" customHeight="1" hidden="1">
      <c r="A699" s="40" t="s">
        <v>771</v>
      </c>
      <c r="B699" s="43" t="s">
        <v>81</v>
      </c>
      <c r="C699" s="43" t="s">
        <v>56</v>
      </c>
      <c r="D699" s="43" t="s">
        <v>521</v>
      </c>
      <c r="E699" s="74"/>
      <c r="F699" s="94">
        <f>F700</f>
        <v>0</v>
      </c>
      <c r="G699" s="94">
        <f t="shared" si="89"/>
        <v>0</v>
      </c>
      <c r="H699" s="94">
        <f t="shared" si="89"/>
        <v>0</v>
      </c>
    </row>
    <row r="700" spans="1:8" ht="72" customHeight="1" hidden="1">
      <c r="A700" s="40" t="s">
        <v>525</v>
      </c>
      <c r="B700" s="43" t="s">
        <v>81</v>
      </c>
      <c r="C700" s="43" t="s">
        <v>56</v>
      </c>
      <c r="D700" s="43" t="s">
        <v>523</v>
      </c>
      <c r="E700" s="74"/>
      <c r="F700" s="94">
        <f>F701</f>
        <v>0</v>
      </c>
      <c r="G700" s="94">
        <f t="shared" si="89"/>
        <v>0</v>
      </c>
      <c r="H700" s="94">
        <f t="shared" si="89"/>
        <v>0</v>
      </c>
    </row>
    <row r="701" spans="1:8" ht="31.5" hidden="1">
      <c r="A701" s="40" t="s">
        <v>393</v>
      </c>
      <c r="B701" s="43" t="s">
        <v>81</v>
      </c>
      <c r="C701" s="43" t="s">
        <v>56</v>
      </c>
      <c r="D701" s="43" t="s">
        <v>524</v>
      </c>
      <c r="E701" s="74"/>
      <c r="F701" s="94">
        <f>F702</f>
        <v>0</v>
      </c>
      <c r="G701" s="94">
        <f t="shared" si="89"/>
        <v>0</v>
      </c>
      <c r="H701" s="94">
        <f t="shared" si="89"/>
        <v>0</v>
      </c>
    </row>
    <row r="702" spans="1:8" ht="15.75" hidden="1">
      <c r="A702" s="125" t="s">
        <v>110</v>
      </c>
      <c r="B702" s="43" t="s">
        <v>81</v>
      </c>
      <c r="C702" s="43" t="s">
        <v>56</v>
      </c>
      <c r="D702" s="43" t="s">
        <v>524</v>
      </c>
      <c r="E702" s="74" t="s">
        <v>111</v>
      </c>
      <c r="F702" s="94">
        <v>0</v>
      </c>
      <c r="G702" s="94">
        <v>0</v>
      </c>
      <c r="H702" s="94">
        <v>0</v>
      </c>
    </row>
    <row r="703" spans="1:8" ht="15.75">
      <c r="A703" s="50" t="s">
        <v>83</v>
      </c>
      <c r="B703" s="46" t="s">
        <v>65</v>
      </c>
      <c r="C703" s="46"/>
      <c r="D703" s="46"/>
      <c r="E703" s="46"/>
      <c r="F703" s="93">
        <f>F704</f>
        <v>148.8</v>
      </c>
      <c r="G703" s="93">
        <f>G704</f>
        <v>132.3</v>
      </c>
      <c r="H703" s="93">
        <f>H704</f>
        <v>132.3</v>
      </c>
    </row>
    <row r="704" spans="1:8" ht="15.75">
      <c r="A704" s="124" t="s">
        <v>84</v>
      </c>
      <c r="B704" s="43" t="s">
        <v>65</v>
      </c>
      <c r="C704" s="43" t="s">
        <v>59</v>
      </c>
      <c r="D704" s="43"/>
      <c r="E704" s="43"/>
      <c r="F704" s="45">
        <f>F705</f>
        <v>148.8</v>
      </c>
      <c r="G704" s="45">
        <f>G706</f>
        <v>132.3</v>
      </c>
      <c r="H704" s="45">
        <f>H706</f>
        <v>132.3</v>
      </c>
    </row>
    <row r="705" spans="1:8" ht="47.25">
      <c r="A705" s="40" t="s">
        <v>836</v>
      </c>
      <c r="B705" s="43" t="s">
        <v>65</v>
      </c>
      <c r="C705" s="43" t="s">
        <v>59</v>
      </c>
      <c r="D705" s="43" t="s">
        <v>139</v>
      </c>
      <c r="E705" s="43"/>
      <c r="F705" s="45">
        <f>F706</f>
        <v>148.8</v>
      </c>
      <c r="G705" s="45">
        <f aca="true" t="shared" si="90" ref="G705:H707">G706</f>
        <v>132.3</v>
      </c>
      <c r="H705" s="45">
        <f t="shared" si="90"/>
        <v>132.3</v>
      </c>
    </row>
    <row r="706" spans="1:8" ht="94.5">
      <c r="A706" s="40" t="s">
        <v>837</v>
      </c>
      <c r="B706" s="43" t="s">
        <v>65</v>
      </c>
      <c r="C706" s="43" t="s">
        <v>59</v>
      </c>
      <c r="D706" s="44" t="s">
        <v>277</v>
      </c>
      <c r="E706" s="44"/>
      <c r="F706" s="45">
        <f>F707</f>
        <v>148.8</v>
      </c>
      <c r="G706" s="45">
        <f t="shared" si="90"/>
        <v>132.3</v>
      </c>
      <c r="H706" s="45">
        <f t="shared" si="90"/>
        <v>132.3</v>
      </c>
    </row>
    <row r="707" spans="1:8" ht="126">
      <c r="A707" s="172" t="s">
        <v>425</v>
      </c>
      <c r="B707" s="43" t="s">
        <v>65</v>
      </c>
      <c r="C707" s="43" t="s">
        <v>59</v>
      </c>
      <c r="D707" s="44" t="s">
        <v>278</v>
      </c>
      <c r="E707" s="44"/>
      <c r="F707" s="45">
        <f>F708</f>
        <v>148.8</v>
      </c>
      <c r="G707" s="45">
        <f t="shared" si="90"/>
        <v>132.3</v>
      </c>
      <c r="H707" s="45">
        <f t="shared" si="90"/>
        <v>132.3</v>
      </c>
    </row>
    <row r="708" spans="1:8" ht="47.25">
      <c r="A708" s="40" t="s">
        <v>20</v>
      </c>
      <c r="B708" s="43" t="s">
        <v>65</v>
      </c>
      <c r="C708" s="43" t="s">
        <v>59</v>
      </c>
      <c r="D708" s="44" t="s">
        <v>278</v>
      </c>
      <c r="E708" s="44" t="s">
        <v>100</v>
      </c>
      <c r="F708" s="59">
        <v>148.8</v>
      </c>
      <c r="G708" s="45">
        <v>132.3</v>
      </c>
      <c r="H708" s="45">
        <v>132.3</v>
      </c>
    </row>
    <row r="709" spans="1:8" ht="15.75">
      <c r="A709" s="50" t="s">
        <v>187</v>
      </c>
      <c r="B709" s="46" t="s">
        <v>86</v>
      </c>
      <c r="C709" s="46"/>
      <c r="D709" s="46"/>
      <c r="E709" s="46"/>
      <c r="F709" s="93">
        <f>F710+F716+F795</f>
        <v>13663.5</v>
      </c>
      <c r="G709" s="93">
        <f>G710+G716+G795</f>
        <v>15750.899999999998</v>
      </c>
      <c r="H709" s="93">
        <f>H710+H716+H795</f>
        <v>10075.399999999998</v>
      </c>
    </row>
    <row r="710" spans="1:8" ht="15.75">
      <c r="A710" s="40" t="s">
        <v>87</v>
      </c>
      <c r="B710" s="43" t="s">
        <v>86</v>
      </c>
      <c r="C710" s="43" t="s">
        <v>51</v>
      </c>
      <c r="D710" s="43"/>
      <c r="E710" s="43"/>
      <c r="F710" s="45">
        <f>F711</f>
        <v>3500</v>
      </c>
      <c r="G710" s="45">
        <f>G712</f>
        <v>3500</v>
      </c>
      <c r="H710" s="45">
        <f>H712</f>
        <v>3500</v>
      </c>
    </row>
    <row r="711" spans="1:8" ht="47.25">
      <c r="A711" s="40" t="s">
        <v>713</v>
      </c>
      <c r="B711" s="43" t="s">
        <v>86</v>
      </c>
      <c r="C711" s="43" t="s">
        <v>51</v>
      </c>
      <c r="D711" s="43" t="s">
        <v>374</v>
      </c>
      <c r="E711" s="43"/>
      <c r="F711" s="45">
        <f>F712</f>
        <v>3500</v>
      </c>
      <c r="G711" s="45">
        <f>G712</f>
        <v>3500</v>
      </c>
      <c r="H711" s="45">
        <f>H712</f>
        <v>3500</v>
      </c>
    </row>
    <row r="712" spans="1:8" ht="31.5">
      <c r="A712" s="40" t="s">
        <v>274</v>
      </c>
      <c r="B712" s="43" t="s">
        <v>86</v>
      </c>
      <c r="C712" s="43" t="s">
        <v>51</v>
      </c>
      <c r="D712" s="43" t="s">
        <v>22</v>
      </c>
      <c r="E712" s="43"/>
      <c r="F712" s="45">
        <f>F713</f>
        <v>3500</v>
      </c>
      <c r="G712" s="45">
        <f>G713</f>
        <v>3500</v>
      </c>
      <c r="H712" s="45">
        <f>H713</f>
        <v>3500</v>
      </c>
    </row>
    <row r="713" spans="1:8" ht="15.75">
      <c r="A713" s="40" t="s">
        <v>188</v>
      </c>
      <c r="B713" s="43" t="s">
        <v>86</v>
      </c>
      <c r="C713" s="43" t="s">
        <v>51</v>
      </c>
      <c r="D713" s="43" t="s">
        <v>719</v>
      </c>
      <c r="E713" s="43"/>
      <c r="F713" s="45">
        <f>F714+F715</f>
        <v>3500</v>
      </c>
      <c r="G713" s="45">
        <f>G714+G715</f>
        <v>3500</v>
      </c>
      <c r="H713" s="45">
        <f>H714+H715</f>
        <v>3500</v>
      </c>
    </row>
    <row r="714" spans="1:8" ht="47.25">
      <c r="A714" s="40" t="s">
        <v>20</v>
      </c>
      <c r="B714" s="43" t="s">
        <v>86</v>
      </c>
      <c r="C714" s="43" t="s">
        <v>51</v>
      </c>
      <c r="D714" s="43" t="s">
        <v>719</v>
      </c>
      <c r="E714" s="43" t="s">
        <v>100</v>
      </c>
      <c r="F714" s="94">
        <v>20</v>
      </c>
      <c r="G714" s="94">
        <v>20</v>
      </c>
      <c r="H714" s="94">
        <v>20</v>
      </c>
    </row>
    <row r="715" spans="1:8" ht="31.5">
      <c r="A715" s="40" t="s">
        <v>416</v>
      </c>
      <c r="B715" s="43" t="s">
        <v>86</v>
      </c>
      <c r="C715" s="43" t="s">
        <v>51</v>
      </c>
      <c r="D715" s="43" t="s">
        <v>719</v>
      </c>
      <c r="E715" s="43" t="s">
        <v>415</v>
      </c>
      <c r="F715" s="94">
        <v>3480</v>
      </c>
      <c r="G715" s="94">
        <v>3480</v>
      </c>
      <c r="H715" s="94">
        <v>3480</v>
      </c>
    </row>
    <row r="716" spans="1:8" ht="15.75">
      <c r="A716" s="40" t="s">
        <v>189</v>
      </c>
      <c r="B716" s="43" t="s">
        <v>86</v>
      </c>
      <c r="C716" s="43" t="s">
        <v>54</v>
      </c>
      <c r="D716" s="43"/>
      <c r="E716" s="43"/>
      <c r="F716" s="45">
        <f>F717+F747+F768+F780+F792+F785+F789</f>
        <v>10076.2</v>
      </c>
      <c r="G716" s="45">
        <f>G717+G747+G768+G780+G792+G785</f>
        <v>12163.599999999999</v>
      </c>
      <c r="H716" s="45">
        <f>H717+H747+H768+H780+H792+H785</f>
        <v>6488.099999999999</v>
      </c>
    </row>
    <row r="717" spans="1:8" ht="47.25">
      <c r="A717" s="40" t="s">
        <v>932</v>
      </c>
      <c r="B717" s="43" t="s">
        <v>86</v>
      </c>
      <c r="C717" s="43" t="s">
        <v>54</v>
      </c>
      <c r="D717" s="43" t="s">
        <v>369</v>
      </c>
      <c r="E717" s="43"/>
      <c r="F717" s="45">
        <f>F718+F734+F741</f>
        <v>2194</v>
      </c>
      <c r="G717" s="45">
        <f>G718+G734+G741</f>
        <v>2091.3999999999996</v>
      </c>
      <c r="H717" s="45">
        <f>H718+H734+H741</f>
        <v>2091.3999999999996</v>
      </c>
    </row>
    <row r="718" spans="1:8" ht="31.5">
      <c r="A718" s="40" t="s">
        <v>112</v>
      </c>
      <c r="B718" s="43" t="s">
        <v>86</v>
      </c>
      <c r="C718" s="43" t="s">
        <v>54</v>
      </c>
      <c r="D718" s="43" t="s">
        <v>156</v>
      </c>
      <c r="E718" s="43"/>
      <c r="F718" s="45">
        <f>F726+F731+F719</f>
        <v>1797</v>
      </c>
      <c r="G718" s="45">
        <f>G726+G731+G719</f>
        <v>1731.3999999999999</v>
      </c>
      <c r="H718" s="45">
        <f>H726+H731+H719</f>
        <v>1731.3999999999999</v>
      </c>
    </row>
    <row r="719" spans="1:8" ht="78.75">
      <c r="A719" s="40" t="s">
        <v>702</v>
      </c>
      <c r="B719" s="43" t="s">
        <v>86</v>
      </c>
      <c r="C719" s="43" t="s">
        <v>54</v>
      </c>
      <c r="D719" s="43" t="s">
        <v>155</v>
      </c>
      <c r="E719" s="43"/>
      <c r="F719" s="45">
        <f>F724+F722+F720</f>
        <v>30.900000000000002</v>
      </c>
      <c r="G719" s="45">
        <f>G724+G722+G720</f>
        <v>27.3</v>
      </c>
      <c r="H719" s="45">
        <f>H724+H722+H720</f>
        <v>27.3</v>
      </c>
    </row>
    <row r="720" spans="1:8" ht="31.5">
      <c r="A720" s="40" t="s">
        <v>114</v>
      </c>
      <c r="B720" s="43" t="s">
        <v>86</v>
      </c>
      <c r="C720" s="43" t="s">
        <v>54</v>
      </c>
      <c r="D720" s="43" t="s">
        <v>158</v>
      </c>
      <c r="E720" s="43"/>
      <c r="F720" s="45">
        <f>F721</f>
        <v>29.1</v>
      </c>
      <c r="G720" s="45">
        <f>G721</f>
        <v>27.3</v>
      </c>
      <c r="H720" s="45">
        <f>H721</f>
        <v>27.3</v>
      </c>
    </row>
    <row r="721" spans="1:8" ht="15.75">
      <c r="A721" s="40" t="s">
        <v>110</v>
      </c>
      <c r="B721" s="43" t="s">
        <v>86</v>
      </c>
      <c r="C721" s="43" t="s">
        <v>54</v>
      </c>
      <c r="D721" s="43" t="s">
        <v>158</v>
      </c>
      <c r="E721" s="43" t="s">
        <v>111</v>
      </c>
      <c r="F721" s="45">
        <v>29.1</v>
      </c>
      <c r="G721" s="45">
        <v>27.3</v>
      </c>
      <c r="H721" s="45">
        <v>27.3</v>
      </c>
    </row>
    <row r="722" spans="1:8" ht="47.25">
      <c r="A722" s="40" t="s">
        <v>462</v>
      </c>
      <c r="B722" s="43" t="s">
        <v>86</v>
      </c>
      <c r="C722" s="43" t="s">
        <v>54</v>
      </c>
      <c r="D722" s="43" t="s">
        <v>475</v>
      </c>
      <c r="E722" s="43"/>
      <c r="F722" s="45">
        <f>F723</f>
        <v>1.8</v>
      </c>
      <c r="G722" s="45"/>
      <c r="H722" s="45"/>
    </row>
    <row r="723" spans="1:8" ht="15.75">
      <c r="A723" s="40" t="s">
        <v>110</v>
      </c>
      <c r="B723" s="43" t="s">
        <v>86</v>
      </c>
      <c r="C723" s="43" t="s">
        <v>54</v>
      </c>
      <c r="D723" s="43" t="s">
        <v>475</v>
      </c>
      <c r="E723" s="43" t="s">
        <v>111</v>
      </c>
      <c r="F723" s="45">
        <v>1.8</v>
      </c>
      <c r="G723" s="45"/>
      <c r="H723" s="45"/>
    </row>
    <row r="724" spans="1:8" ht="63" hidden="1">
      <c r="A724" s="40" t="s">
        <v>161</v>
      </c>
      <c r="B724" s="43" t="s">
        <v>86</v>
      </c>
      <c r="C724" s="43" t="s">
        <v>54</v>
      </c>
      <c r="D724" s="43" t="s">
        <v>159</v>
      </c>
      <c r="E724" s="43"/>
      <c r="F724" s="45">
        <f>F725</f>
        <v>0</v>
      </c>
      <c r="G724" s="45"/>
      <c r="H724" s="45"/>
    </row>
    <row r="725" spans="1:8" ht="15.75" hidden="1">
      <c r="A725" s="40" t="s">
        <v>110</v>
      </c>
      <c r="B725" s="43" t="s">
        <v>86</v>
      </c>
      <c r="C725" s="43" t="s">
        <v>54</v>
      </c>
      <c r="D725" s="43" t="s">
        <v>159</v>
      </c>
      <c r="E725" s="43" t="s">
        <v>111</v>
      </c>
      <c r="F725" s="45">
        <v>0</v>
      </c>
      <c r="G725" s="45"/>
      <c r="H725" s="45"/>
    </row>
    <row r="726" spans="1:8" ht="78.75">
      <c r="A726" s="40" t="s">
        <v>162</v>
      </c>
      <c r="B726" s="43" t="s">
        <v>86</v>
      </c>
      <c r="C726" s="43" t="s">
        <v>54</v>
      </c>
      <c r="D726" s="43" t="s">
        <v>164</v>
      </c>
      <c r="E726" s="43"/>
      <c r="F726" s="45">
        <f>F727+F729</f>
        <v>1576.1</v>
      </c>
      <c r="G726" s="45">
        <f>G727+G729</f>
        <v>1514.1</v>
      </c>
      <c r="H726" s="45">
        <f>H727+H729</f>
        <v>1514.1</v>
      </c>
    </row>
    <row r="727" spans="1:8" ht="94.5">
      <c r="A727" s="40" t="s">
        <v>289</v>
      </c>
      <c r="B727" s="43" t="s">
        <v>86</v>
      </c>
      <c r="C727" s="43" t="s">
        <v>54</v>
      </c>
      <c r="D727" s="43" t="s">
        <v>163</v>
      </c>
      <c r="E727" s="43"/>
      <c r="F727" s="45">
        <f>F728</f>
        <v>1322.6</v>
      </c>
      <c r="G727" s="45">
        <f>G728</f>
        <v>1260.6</v>
      </c>
      <c r="H727" s="45">
        <f>H728</f>
        <v>1260.6</v>
      </c>
    </row>
    <row r="728" spans="1:8" ht="15.75">
      <c r="A728" s="40" t="s">
        <v>110</v>
      </c>
      <c r="B728" s="43" t="s">
        <v>86</v>
      </c>
      <c r="C728" s="43" t="s">
        <v>54</v>
      </c>
      <c r="D728" s="43" t="s">
        <v>163</v>
      </c>
      <c r="E728" s="43" t="s">
        <v>111</v>
      </c>
      <c r="F728" s="45">
        <v>1322.6</v>
      </c>
      <c r="G728" s="45">
        <v>1260.6</v>
      </c>
      <c r="H728" s="45">
        <v>1260.6</v>
      </c>
    </row>
    <row r="729" spans="1:8" ht="94.5">
      <c r="A729" s="40" t="s">
        <v>617</v>
      </c>
      <c r="B729" s="43" t="s">
        <v>86</v>
      </c>
      <c r="C729" s="43" t="s">
        <v>54</v>
      </c>
      <c r="D729" s="43" t="s">
        <v>618</v>
      </c>
      <c r="E729" s="43"/>
      <c r="F729" s="45">
        <f>F730</f>
        <v>253.5</v>
      </c>
      <c r="G729" s="45">
        <f>G730</f>
        <v>253.5</v>
      </c>
      <c r="H729" s="45">
        <f>H730</f>
        <v>253.5</v>
      </c>
    </row>
    <row r="730" spans="1:8" ht="15.75">
      <c r="A730" s="40" t="s">
        <v>110</v>
      </c>
      <c r="B730" s="43" t="s">
        <v>86</v>
      </c>
      <c r="C730" s="43" t="s">
        <v>54</v>
      </c>
      <c r="D730" s="43" t="s">
        <v>618</v>
      </c>
      <c r="E730" s="43" t="s">
        <v>111</v>
      </c>
      <c r="F730" s="45">
        <f>50.7+202.8</f>
        <v>253.5</v>
      </c>
      <c r="G730" s="45">
        <f>50.7+202.8</f>
        <v>253.5</v>
      </c>
      <c r="H730" s="45">
        <f>50.7+202.8</f>
        <v>253.5</v>
      </c>
    </row>
    <row r="731" spans="1:8" ht="63">
      <c r="A731" s="40" t="s">
        <v>165</v>
      </c>
      <c r="B731" s="43" t="s">
        <v>86</v>
      </c>
      <c r="C731" s="43" t="s">
        <v>54</v>
      </c>
      <c r="D731" s="43" t="s">
        <v>166</v>
      </c>
      <c r="E731" s="43"/>
      <c r="F731" s="45">
        <f aca="true" t="shared" si="91" ref="F731:H732">F732</f>
        <v>190</v>
      </c>
      <c r="G731" s="45">
        <f t="shared" si="91"/>
        <v>190</v>
      </c>
      <c r="H731" s="45">
        <f t="shared" si="91"/>
        <v>190</v>
      </c>
    </row>
    <row r="732" spans="1:8" ht="94.5">
      <c r="A732" s="40" t="s">
        <v>24</v>
      </c>
      <c r="B732" s="43" t="s">
        <v>86</v>
      </c>
      <c r="C732" s="43" t="s">
        <v>54</v>
      </c>
      <c r="D732" s="43" t="s">
        <v>129</v>
      </c>
      <c r="E732" s="43"/>
      <c r="F732" s="45">
        <f t="shared" si="91"/>
        <v>190</v>
      </c>
      <c r="G732" s="45">
        <f t="shared" si="91"/>
        <v>190</v>
      </c>
      <c r="H732" s="45">
        <f t="shared" si="91"/>
        <v>190</v>
      </c>
    </row>
    <row r="733" spans="1:8" ht="31.5">
      <c r="A733" s="40" t="s">
        <v>221</v>
      </c>
      <c r="B733" s="43" t="s">
        <v>86</v>
      </c>
      <c r="C733" s="43" t="s">
        <v>54</v>
      </c>
      <c r="D733" s="43" t="s">
        <v>129</v>
      </c>
      <c r="E733" s="43" t="s">
        <v>222</v>
      </c>
      <c r="F733" s="45">
        <v>190</v>
      </c>
      <c r="G733" s="45">
        <v>190</v>
      </c>
      <c r="H733" s="45">
        <v>190</v>
      </c>
    </row>
    <row r="734" spans="1:8" ht="78.75">
      <c r="A734" s="40" t="s">
        <v>108</v>
      </c>
      <c r="B734" s="43" t="s">
        <v>86</v>
      </c>
      <c r="C734" s="43" t="s">
        <v>54</v>
      </c>
      <c r="D734" s="43" t="s">
        <v>151</v>
      </c>
      <c r="E734" s="43"/>
      <c r="F734" s="45">
        <f>F738+F735</f>
        <v>360</v>
      </c>
      <c r="G734" s="45">
        <f>G738</f>
        <v>360</v>
      </c>
      <c r="H734" s="45">
        <f>H738</f>
        <v>360</v>
      </c>
    </row>
    <row r="735" spans="1:8" ht="47.25" hidden="1">
      <c r="A735" s="40" t="s">
        <v>152</v>
      </c>
      <c r="B735" s="43" t="s">
        <v>86</v>
      </c>
      <c r="C735" s="43" t="s">
        <v>54</v>
      </c>
      <c r="D735" s="43" t="s">
        <v>153</v>
      </c>
      <c r="E735" s="43"/>
      <c r="F735" s="45">
        <f>F736</f>
        <v>0</v>
      </c>
      <c r="G735" s="45"/>
      <c r="H735" s="45"/>
    </row>
    <row r="736" spans="1:8" ht="63" hidden="1">
      <c r="A736" s="40" t="s">
        <v>161</v>
      </c>
      <c r="B736" s="43" t="s">
        <v>86</v>
      </c>
      <c r="C736" s="43" t="s">
        <v>54</v>
      </c>
      <c r="D736" s="43" t="s">
        <v>160</v>
      </c>
      <c r="E736" s="43"/>
      <c r="F736" s="45">
        <f>F737</f>
        <v>0</v>
      </c>
      <c r="G736" s="45"/>
      <c r="H736" s="45"/>
    </row>
    <row r="737" spans="1:8" ht="15.75" hidden="1">
      <c r="A737" s="40" t="s">
        <v>110</v>
      </c>
      <c r="B737" s="43" t="s">
        <v>86</v>
      </c>
      <c r="C737" s="43" t="s">
        <v>54</v>
      </c>
      <c r="D737" s="43" t="s">
        <v>160</v>
      </c>
      <c r="E737" s="43" t="s">
        <v>111</v>
      </c>
      <c r="F737" s="45">
        <v>0</v>
      </c>
      <c r="G737" s="45"/>
      <c r="H737" s="45"/>
    </row>
    <row r="738" spans="1:8" ht="63">
      <c r="A738" s="40" t="s">
        <v>165</v>
      </c>
      <c r="B738" s="43" t="s">
        <v>86</v>
      </c>
      <c r="C738" s="43" t="s">
        <v>54</v>
      </c>
      <c r="D738" s="43" t="s">
        <v>130</v>
      </c>
      <c r="E738" s="43"/>
      <c r="F738" s="45">
        <f aca="true" t="shared" si="92" ref="F738:H739">F739</f>
        <v>360</v>
      </c>
      <c r="G738" s="45">
        <f t="shared" si="92"/>
        <v>360</v>
      </c>
      <c r="H738" s="45">
        <f t="shared" si="92"/>
        <v>360</v>
      </c>
    </row>
    <row r="739" spans="1:8" ht="66.75" customHeight="1">
      <c r="A739" s="40" t="s">
        <v>24</v>
      </c>
      <c r="B739" s="43" t="s">
        <v>86</v>
      </c>
      <c r="C739" s="43" t="s">
        <v>54</v>
      </c>
      <c r="D739" s="43" t="s">
        <v>131</v>
      </c>
      <c r="E739" s="43"/>
      <c r="F739" s="45">
        <f t="shared" si="92"/>
        <v>360</v>
      </c>
      <c r="G739" s="45">
        <f t="shared" si="92"/>
        <v>360</v>
      </c>
      <c r="H739" s="45">
        <f t="shared" si="92"/>
        <v>360</v>
      </c>
    </row>
    <row r="740" spans="1:8" ht="31.5">
      <c r="A740" s="40" t="s">
        <v>221</v>
      </c>
      <c r="B740" s="43" t="s">
        <v>86</v>
      </c>
      <c r="C740" s="43" t="s">
        <v>54</v>
      </c>
      <c r="D740" s="43" t="s">
        <v>131</v>
      </c>
      <c r="E740" s="43" t="s">
        <v>222</v>
      </c>
      <c r="F740" s="45">
        <v>360</v>
      </c>
      <c r="G740" s="45">
        <v>360</v>
      </c>
      <c r="H740" s="45">
        <v>360</v>
      </c>
    </row>
    <row r="741" spans="1:8" ht="63">
      <c r="A741" s="37" t="s">
        <v>835</v>
      </c>
      <c r="B741" s="43" t="s">
        <v>86</v>
      </c>
      <c r="C741" s="43" t="s">
        <v>54</v>
      </c>
      <c r="D741" s="43" t="s">
        <v>127</v>
      </c>
      <c r="E741" s="43"/>
      <c r="F741" s="45">
        <f>F742</f>
        <v>37</v>
      </c>
      <c r="G741" s="45">
        <f>G742</f>
        <v>0</v>
      </c>
      <c r="H741" s="45">
        <f>H742</f>
        <v>0</v>
      </c>
    </row>
    <row r="742" spans="1:8" ht="63">
      <c r="A742" s="37" t="s">
        <v>708</v>
      </c>
      <c r="B742" s="43" t="s">
        <v>86</v>
      </c>
      <c r="C742" s="43" t="s">
        <v>54</v>
      </c>
      <c r="D742" s="43" t="s">
        <v>128</v>
      </c>
      <c r="E742" s="43"/>
      <c r="F742" s="45">
        <f>F745+F743</f>
        <v>37</v>
      </c>
      <c r="G742" s="45">
        <f>G745+G743</f>
        <v>0</v>
      </c>
      <c r="H742" s="45">
        <f>H745+H743</f>
        <v>0</v>
      </c>
    </row>
    <row r="743" spans="1:8" ht="31.5">
      <c r="A743" s="124" t="s">
        <v>358</v>
      </c>
      <c r="B743" s="43" t="s">
        <v>86</v>
      </c>
      <c r="C743" s="43" t="s">
        <v>54</v>
      </c>
      <c r="D743" s="43" t="s">
        <v>349</v>
      </c>
      <c r="E743" s="43"/>
      <c r="F743" s="45">
        <f>F744</f>
        <v>37</v>
      </c>
      <c r="G743" s="45">
        <f>G744</f>
        <v>0</v>
      </c>
      <c r="H743" s="45">
        <f>H744</f>
        <v>0</v>
      </c>
    </row>
    <row r="744" spans="1:8" ht="31.5">
      <c r="A744" s="40" t="s">
        <v>221</v>
      </c>
      <c r="B744" s="43" t="s">
        <v>86</v>
      </c>
      <c r="C744" s="43" t="s">
        <v>54</v>
      </c>
      <c r="D744" s="43" t="s">
        <v>349</v>
      </c>
      <c r="E744" s="43" t="s">
        <v>222</v>
      </c>
      <c r="F744" s="45">
        <v>37</v>
      </c>
      <c r="G744" s="45"/>
      <c r="H744" s="45"/>
    </row>
    <row r="745" spans="1:8" ht="15.75" hidden="1">
      <c r="A745" s="37" t="s">
        <v>542</v>
      </c>
      <c r="B745" s="43" t="s">
        <v>86</v>
      </c>
      <c r="C745" s="43" t="s">
        <v>54</v>
      </c>
      <c r="D745" s="43" t="s">
        <v>543</v>
      </c>
      <c r="E745" s="43"/>
      <c r="F745" s="45">
        <f>F746</f>
        <v>0</v>
      </c>
      <c r="G745" s="45"/>
      <c r="H745" s="45"/>
    </row>
    <row r="746" spans="1:8" ht="31.5" hidden="1">
      <c r="A746" s="40" t="s">
        <v>229</v>
      </c>
      <c r="B746" s="43" t="s">
        <v>86</v>
      </c>
      <c r="C746" s="43" t="s">
        <v>54</v>
      </c>
      <c r="D746" s="43" t="s">
        <v>543</v>
      </c>
      <c r="E746" s="43" t="s">
        <v>230</v>
      </c>
      <c r="F746" s="45">
        <v>0</v>
      </c>
      <c r="G746" s="45"/>
      <c r="H746" s="45"/>
    </row>
    <row r="747" spans="1:8" ht="63">
      <c r="A747" s="40" t="s">
        <v>724</v>
      </c>
      <c r="B747" s="43" t="s">
        <v>86</v>
      </c>
      <c r="C747" s="43" t="s">
        <v>54</v>
      </c>
      <c r="D747" s="43" t="s">
        <v>174</v>
      </c>
      <c r="E747" s="43"/>
      <c r="F747" s="45">
        <f>F748+F752+F760+F756+F764</f>
        <v>2483.3</v>
      </c>
      <c r="G747" s="45">
        <f>G748+G752+G760+G756</f>
        <v>5179.9</v>
      </c>
      <c r="H747" s="45">
        <f>H748+H752+H760+H756</f>
        <v>2165</v>
      </c>
    </row>
    <row r="748" spans="1:8" ht="15.75">
      <c r="A748" s="40" t="s">
        <v>362</v>
      </c>
      <c r="B748" s="43" t="s">
        <v>86</v>
      </c>
      <c r="C748" s="43" t="s">
        <v>54</v>
      </c>
      <c r="D748" s="43" t="s">
        <v>178</v>
      </c>
      <c r="E748" s="43"/>
      <c r="F748" s="45">
        <f aca="true" t="shared" si="93" ref="F748:H750">F749</f>
        <v>330</v>
      </c>
      <c r="G748" s="45">
        <f t="shared" si="93"/>
        <v>740</v>
      </c>
      <c r="H748" s="45">
        <f t="shared" si="93"/>
        <v>140</v>
      </c>
    </row>
    <row r="749" spans="1:8" ht="47.25">
      <c r="A749" s="40" t="s">
        <v>16</v>
      </c>
      <c r="B749" s="43" t="s">
        <v>86</v>
      </c>
      <c r="C749" s="43" t="s">
        <v>54</v>
      </c>
      <c r="D749" s="43" t="s">
        <v>17</v>
      </c>
      <c r="E749" s="43"/>
      <c r="F749" s="45">
        <f t="shared" si="93"/>
        <v>330</v>
      </c>
      <c r="G749" s="45">
        <f t="shared" si="93"/>
        <v>740</v>
      </c>
      <c r="H749" s="45">
        <f t="shared" si="93"/>
        <v>140</v>
      </c>
    </row>
    <row r="750" spans="1:8" ht="15.75">
      <c r="A750" s="40" t="s">
        <v>363</v>
      </c>
      <c r="B750" s="43" t="s">
        <v>86</v>
      </c>
      <c r="C750" s="43" t="s">
        <v>54</v>
      </c>
      <c r="D750" s="43" t="s">
        <v>989</v>
      </c>
      <c r="E750" s="43"/>
      <c r="F750" s="59">
        <f t="shared" si="93"/>
        <v>330</v>
      </c>
      <c r="G750" s="45">
        <f t="shared" si="93"/>
        <v>740</v>
      </c>
      <c r="H750" s="45">
        <f t="shared" si="93"/>
        <v>140</v>
      </c>
    </row>
    <row r="751" spans="1:8" ht="15.75">
      <c r="A751" s="40" t="s">
        <v>110</v>
      </c>
      <c r="B751" s="43" t="s">
        <v>86</v>
      </c>
      <c r="C751" s="43" t="s">
        <v>54</v>
      </c>
      <c r="D751" s="43" t="s">
        <v>989</v>
      </c>
      <c r="E751" s="43" t="s">
        <v>111</v>
      </c>
      <c r="F751" s="94">
        <v>330</v>
      </c>
      <c r="G751" s="94">
        <f>440+300</f>
        <v>740</v>
      </c>
      <c r="H751" s="94">
        <f>440-300</f>
        <v>140</v>
      </c>
    </row>
    <row r="752" spans="1:8" ht="15.75">
      <c r="A752" s="40" t="s">
        <v>182</v>
      </c>
      <c r="B752" s="43" t="s">
        <v>86</v>
      </c>
      <c r="C752" s="43" t="s">
        <v>54</v>
      </c>
      <c r="D752" s="43" t="s">
        <v>6</v>
      </c>
      <c r="E752" s="43"/>
      <c r="F752" s="45">
        <f aca="true" t="shared" si="94" ref="F752:H754">F753</f>
        <v>800</v>
      </c>
      <c r="G752" s="45">
        <f t="shared" si="94"/>
        <v>2000</v>
      </c>
      <c r="H752" s="45">
        <f t="shared" si="94"/>
        <v>800</v>
      </c>
    </row>
    <row r="753" spans="1:8" ht="47.25">
      <c r="A753" s="40" t="s">
        <v>16</v>
      </c>
      <c r="B753" s="43" t="s">
        <v>86</v>
      </c>
      <c r="C753" s="43" t="s">
        <v>54</v>
      </c>
      <c r="D753" s="43" t="s">
        <v>193</v>
      </c>
      <c r="E753" s="43"/>
      <c r="F753" s="45">
        <f t="shared" si="94"/>
        <v>800</v>
      </c>
      <c r="G753" s="45">
        <f t="shared" si="94"/>
        <v>2000</v>
      </c>
      <c r="H753" s="45">
        <f t="shared" si="94"/>
        <v>800</v>
      </c>
    </row>
    <row r="754" spans="1:8" ht="15.75">
      <c r="A754" s="40" t="s">
        <v>183</v>
      </c>
      <c r="B754" s="43" t="s">
        <v>86</v>
      </c>
      <c r="C754" s="43" t="s">
        <v>54</v>
      </c>
      <c r="D754" s="43" t="s">
        <v>985</v>
      </c>
      <c r="E754" s="43"/>
      <c r="F754" s="59">
        <f t="shared" si="94"/>
        <v>800</v>
      </c>
      <c r="G754" s="45">
        <f t="shared" si="94"/>
        <v>2000</v>
      </c>
      <c r="H754" s="45">
        <f t="shared" si="94"/>
        <v>800</v>
      </c>
    </row>
    <row r="755" spans="1:8" ht="15.75">
      <c r="A755" s="40" t="s">
        <v>110</v>
      </c>
      <c r="B755" s="43" t="s">
        <v>86</v>
      </c>
      <c r="C755" s="43" t="s">
        <v>54</v>
      </c>
      <c r="D755" s="43" t="s">
        <v>985</v>
      </c>
      <c r="E755" s="43" t="s">
        <v>111</v>
      </c>
      <c r="F755" s="45">
        <v>800</v>
      </c>
      <c r="G755" s="45">
        <f>1400+600</f>
        <v>2000</v>
      </c>
      <c r="H755" s="45">
        <f>1400-600</f>
        <v>800</v>
      </c>
    </row>
    <row r="756" spans="1:8" ht="31.5">
      <c r="A756" s="40" t="s">
        <v>184</v>
      </c>
      <c r="B756" s="43" t="s">
        <v>86</v>
      </c>
      <c r="C756" s="43" t="s">
        <v>54</v>
      </c>
      <c r="D756" s="43" t="s">
        <v>10</v>
      </c>
      <c r="E756" s="43"/>
      <c r="F756" s="45">
        <f aca="true" t="shared" si="95" ref="F756:H758">F757</f>
        <v>425</v>
      </c>
      <c r="G756" s="45">
        <f t="shared" si="95"/>
        <v>750</v>
      </c>
      <c r="H756" s="45">
        <f t="shared" si="95"/>
        <v>150</v>
      </c>
    </row>
    <row r="757" spans="1:8" ht="47.25">
      <c r="A757" s="40" t="s">
        <v>16</v>
      </c>
      <c r="B757" s="43" t="s">
        <v>86</v>
      </c>
      <c r="C757" s="43" t="s">
        <v>54</v>
      </c>
      <c r="D757" s="43" t="s">
        <v>194</v>
      </c>
      <c r="E757" s="43"/>
      <c r="F757" s="45">
        <f t="shared" si="95"/>
        <v>425</v>
      </c>
      <c r="G757" s="45">
        <f t="shared" si="95"/>
        <v>750</v>
      </c>
      <c r="H757" s="45">
        <f t="shared" si="95"/>
        <v>150</v>
      </c>
    </row>
    <row r="758" spans="1:8" ht="31.5">
      <c r="A758" s="40" t="s">
        <v>23</v>
      </c>
      <c r="B758" s="43" t="s">
        <v>86</v>
      </c>
      <c r="C758" s="43" t="s">
        <v>54</v>
      </c>
      <c r="D758" s="43" t="s">
        <v>986</v>
      </c>
      <c r="E758" s="43"/>
      <c r="F758" s="59">
        <f t="shared" si="95"/>
        <v>425</v>
      </c>
      <c r="G758" s="45">
        <f t="shared" si="95"/>
        <v>750</v>
      </c>
      <c r="H758" s="45">
        <f t="shared" si="95"/>
        <v>150</v>
      </c>
    </row>
    <row r="759" spans="1:8" ht="15.75">
      <c r="A759" s="40" t="s">
        <v>110</v>
      </c>
      <c r="B759" s="43" t="s">
        <v>86</v>
      </c>
      <c r="C759" s="43" t="s">
        <v>54</v>
      </c>
      <c r="D759" s="43" t="s">
        <v>986</v>
      </c>
      <c r="E759" s="43" t="s">
        <v>111</v>
      </c>
      <c r="F759" s="59">
        <v>425</v>
      </c>
      <c r="G759" s="59">
        <f>450+300</f>
        <v>750</v>
      </c>
      <c r="H759" s="59">
        <f>450-300</f>
        <v>150</v>
      </c>
    </row>
    <row r="760" spans="1:8" ht="31.5">
      <c r="A760" s="40" t="s">
        <v>186</v>
      </c>
      <c r="B760" s="43" t="s">
        <v>86</v>
      </c>
      <c r="C760" s="43" t="s">
        <v>54</v>
      </c>
      <c r="D760" s="43" t="s">
        <v>13</v>
      </c>
      <c r="E760" s="43"/>
      <c r="F760" s="45">
        <f aca="true" t="shared" si="96" ref="F760:H762">F761</f>
        <v>926.5</v>
      </c>
      <c r="G760" s="45">
        <f t="shared" si="96"/>
        <v>1689.9</v>
      </c>
      <c r="H760" s="45">
        <f t="shared" si="96"/>
        <v>1075</v>
      </c>
    </row>
    <row r="761" spans="1:8" ht="47.25">
      <c r="A761" s="40" t="s">
        <v>16</v>
      </c>
      <c r="B761" s="43" t="s">
        <v>86</v>
      </c>
      <c r="C761" s="43" t="s">
        <v>54</v>
      </c>
      <c r="D761" s="43" t="s">
        <v>195</v>
      </c>
      <c r="E761" s="43"/>
      <c r="F761" s="45">
        <f t="shared" si="96"/>
        <v>926.5</v>
      </c>
      <c r="G761" s="45">
        <f t="shared" si="96"/>
        <v>1689.9</v>
      </c>
      <c r="H761" s="45">
        <f t="shared" si="96"/>
        <v>1075</v>
      </c>
    </row>
    <row r="762" spans="1:8" ht="31.5">
      <c r="A762" s="40" t="s">
        <v>23</v>
      </c>
      <c r="B762" s="43" t="s">
        <v>86</v>
      </c>
      <c r="C762" s="43" t="s">
        <v>54</v>
      </c>
      <c r="D762" s="43" t="s">
        <v>987</v>
      </c>
      <c r="E762" s="43"/>
      <c r="F762" s="59">
        <f t="shared" si="96"/>
        <v>926.5</v>
      </c>
      <c r="G762" s="45">
        <f t="shared" si="96"/>
        <v>1689.9</v>
      </c>
      <c r="H762" s="45">
        <f t="shared" si="96"/>
        <v>1075</v>
      </c>
    </row>
    <row r="763" spans="1:8" ht="15.75">
      <c r="A763" s="40" t="s">
        <v>110</v>
      </c>
      <c r="B763" s="43" t="s">
        <v>86</v>
      </c>
      <c r="C763" s="43" t="s">
        <v>54</v>
      </c>
      <c r="D763" s="43" t="s">
        <v>987</v>
      </c>
      <c r="E763" s="43" t="s">
        <v>111</v>
      </c>
      <c r="F763" s="59">
        <v>926.5</v>
      </c>
      <c r="G763" s="94">
        <v>1689.9</v>
      </c>
      <c r="H763" s="94">
        <v>1075</v>
      </c>
    </row>
    <row r="764" spans="1:8" ht="78.75">
      <c r="A764" s="40" t="s">
        <v>934</v>
      </c>
      <c r="B764" s="43" t="s">
        <v>86</v>
      </c>
      <c r="C764" s="43" t="s">
        <v>54</v>
      </c>
      <c r="D764" s="43" t="s">
        <v>256</v>
      </c>
      <c r="E764" s="43"/>
      <c r="F764" s="59">
        <f aca="true" t="shared" si="97" ref="F764:H766">F765</f>
        <v>1.8</v>
      </c>
      <c r="G764" s="59">
        <f t="shared" si="97"/>
        <v>0</v>
      </c>
      <c r="H764" s="59">
        <f t="shared" si="97"/>
        <v>0</v>
      </c>
    </row>
    <row r="765" spans="1:8" ht="31.5">
      <c r="A765" s="40" t="s">
        <v>935</v>
      </c>
      <c r="B765" s="43" t="s">
        <v>86</v>
      </c>
      <c r="C765" s="43" t="s">
        <v>54</v>
      </c>
      <c r="D765" s="43" t="s">
        <v>255</v>
      </c>
      <c r="E765" s="43"/>
      <c r="F765" s="59">
        <f t="shared" si="97"/>
        <v>1.8</v>
      </c>
      <c r="G765" s="59">
        <f t="shared" si="97"/>
        <v>0</v>
      </c>
      <c r="H765" s="59">
        <f t="shared" si="97"/>
        <v>0</v>
      </c>
    </row>
    <row r="766" spans="1:8" ht="15.75">
      <c r="A766" s="40" t="s">
        <v>936</v>
      </c>
      <c r="B766" s="43" t="s">
        <v>86</v>
      </c>
      <c r="C766" s="43" t="s">
        <v>54</v>
      </c>
      <c r="D766" s="43" t="s">
        <v>257</v>
      </c>
      <c r="E766" s="43"/>
      <c r="F766" s="59">
        <f>F767</f>
        <v>1.8</v>
      </c>
      <c r="G766" s="45">
        <f t="shared" si="97"/>
        <v>0</v>
      </c>
      <c r="H766" s="45">
        <f t="shared" si="97"/>
        <v>0</v>
      </c>
    </row>
    <row r="767" spans="1:8" ht="15.75">
      <c r="A767" s="125" t="s">
        <v>110</v>
      </c>
      <c r="B767" s="43" t="s">
        <v>86</v>
      </c>
      <c r="C767" s="43" t="s">
        <v>54</v>
      </c>
      <c r="D767" s="43" t="s">
        <v>257</v>
      </c>
      <c r="E767" s="43" t="s">
        <v>111</v>
      </c>
      <c r="F767" s="94">
        <v>1.8</v>
      </c>
      <c r="G767" s="94">
        <v>0</v>
      </c>
      <c r="H767" s="94">
        <v>0</v>
      </c>
    </row>
    <row r="768" spans="1:8" ht="47.25">
      <c r="A768" s="40" t="s">
        <v>713</v>
      </c>
      <c r="B768" s="43" t="s">
        <v>86</v>
      </c>
      <c r="C768" s="43" t="s">
        <v>54</v>
      </c>
      <c r="D768" s="43" t="s">
        <v>374</v>
      </c>
      <c r="E768" s="43"/>
      <c r="F768" s="45">
        <f>F769+F773+F776</f>
        <v>4676.3</v>
      </c>
      <c r="G768" s="45">
        <f>G769+G773+G776</f>
        <v>4171.5</v>
      </c>
      <c r="H768" s="45">
        <f>H769+H773+H776</f>
        <v>1521.5</v>
      </c>
    </row>
    <row r="769" spans="1:8" ht="47.25">
      <c r="A769" s="40" t="s">
        <v>714</v>
      </c>
      <c r="B769" s="43" t="s">
        <v>86</v>
      </c>
      <c r="C769" s="43" t="s">
        <v>54</v>
      </c>
      <c r="D769" s="43" t="s">
        <v>304</v>
      </c>
      <c r="E769" s="43"/>
      <c r="F769" s="45">
        <f>F770</f>
        <v>2373</v>
      </c>
      <c r="G769" s="45">
        <f>G770</f>
        <v>1790</v>
      </c>
      <c r="H769" s="45">
        <f>H770</f>
        <v>490</v>
      </c>
    </row>
    <row r="770" spans="1:8" ht="35.25" customHeight="1">
      <c r="A770" s="40" t="s">
        <v>24</v>
      </c>
      <c r="B770" s="43" t="s">
        <v>86</v>
      </c>
      <c r="C770" s="43" t="s">
        <v>54</v>
      </c>
      <c r="D770" s="43" t="s">
        <v>305</v>
      </c>
      <c r="E770" s="43"/>
      <c r="F770" s="45">
        <f>F772+F771</f>
        <v>2373</v>
      </c>
      <c r="G770" s="45">
        <f>G772+G771</f>
        <v>1790</v>
      </c>
      <c r="H770" s="45">
        <f>H772+H771</f>
        <v>490</v>
      </c>
    </row>
    <row r="771" spans="1:8" ht="36.75" customHeight="1">
      <c r="A771" s="40" t="s">
        <v>20</v>
      </c>
      <c r="B771" s="43" t="s">
        <v>86</v>
      </c>
      <c r="C771" s="43" t="s">
        <v>54</v>
      </c>
      <c r="D771" s="43" t="s">
        <v>305</v>
      </c>
      <c r="E771" s="43" t="s">
        <v>100</v>
      </c>
      <c r="F771" s="45">
        <v>18</v>
      </c>
      <c r="G771" s="45">
        <v>10</v>
      </c>
      <c r="H771" s="45">
        <v>10</v>
      </c>
    </row>
    <row r="772" spans="1:8" ht="31.5">
      <c r="A772" s="40" t="s">
        <v>221</v>
      </c>
      <c r="B772" s="43" t="s">
        <v>86</v>
      </c>
      <c r="C772" s="43" t="s">
        <v>54</v>
      </c>
      <c r="D772" s="43" t="s">
        <v>305</v>
      </c>
      <c r="E772" s="43" t="s">
        <v>222</v>
      </c>
      <c r="F772" s="59">
        <v>2355</v>
      </c>
      <c r="G772" s="59">
        <f>1280+500</f>
        <v>1780</v>
      </c>
      <c r="H772" s="59">
        <f>1280-800</f>
        <v>480</v>
      </c>
    </row>
    <row r="773" spans="1:8" ht="78.75">
      <c r="A773" s="37" t="s">
        <v>254</v>
      </c>
      <c r="B773" s="43" t="s">
        <v>86</v>
      </c>
      <c r="C773" s="43" t="s">
        <v>54</v>
      </c>
      <c r="D773" s="43" t="s">
        <v>715</v>
      </c>
      <c r="E773" s="43"/>
      <c r="F773" s="45">
        <f aca="true" t="shared" si="98" ref="F773:H774">F774</f>
        <v>1271.8</v>
      </c>
      <c r="G773" s="45">
        <f t="shared" si="98"/>
        <v>1350</v>
      </c>
      <c r="H773" s="45">
        <f t="shared" si="98"/>
        <v>0</v>
      </c>
    </row>
    <row r="774" spans="1:8" ht="78.75">
      <c r="A774" s="37" t="s">
        <v>411</v>
      </c>
      <c r="B774" s="43" t="s">
        <v>86</v>
      </c>
      <c r="C774" s="43" t="s">
        <v>54</v>
      </c>
      <c r="D774" s="43" t="s">
        <v>716</v>
      </c>
      <c r="E774" s="43"/>
      <c r="F774" s="45">
        <f t="shared" si="98"/>
        <v>1271.8</v>
      </c>
      <c r="G774" s="45">
        <f t="shared" si="98"/>
        <v>1350</v>
      </c>
      <c r="H774" s="45">
        <f t="shared" si="98"/>
        <v>0</v>
      </c>
    </row>
    <row r="775" spans="1:8" ht="31.5">
      <c r="A775" s="40" t="s">
        <v>221</v>
      </c>
      <c r="B775" s="43" t="s">
        <v>86</v>
      </c>
      <c r="C775" s="43" t="s">
        <v>54</v>
      </c>
      <c r="D775" s="43" t="s">
        <v>716</v>
      </c>
      <c r="E775" s="43" t="s">
        <v>222</v>
      </c>
      <c r="F775" s="59">
        <v>1271.8</v>
      </c>
      <c r="G775" s="59">
        <v>1350</v>
      </c>
      <c r="H775" s="45">
        <v>0</v>
      </c>
    </row>
    <row r="776" spans="1:8" ht="47.25">
      <c r="A776" s="40" t="s">
        <v>518</v>
      </c>
      <c r="B776" s="43" t="s">
        <v>86</v>
      </c>
      <c r="C776" s="43" t="s">
        <v>54</v>
      </c>
      <c r="D776" s="43" t="s">
        <v>519</v>
      </c>
      <c r="E776" s="43"/>
      <c r="F776" s="59">
        <f>F777</f>
        <v>1031.5</v>
      </c>
      <c r="G776" s="59">
        <f>G777</f>
        <v>1031.5</v>
      </c>
      <c r="H776" s="59">
        <f>H777</f>
        <v>1031.5</v>
      </c>
    </row>
    <row r="777" spans="1:8" ht="141.75">
      <c r="A777" s="40" t="s">
        <v>445</v>
      </c>
      <c r="B777" s="43" t="s">
        <v>86</v>
      </c>
      <c r="C777" s="43" t="s">
        <v>54</v>
      </c>
      <c r="D777" s="43" t="s">
        <v>517</v>
      </c>
      <c r="E777" s="44"/>
      <c r="F777" s="127">
        <f>F779+F778</f>
        <v>1031.5</v>
      </c>
      <c r="G777" s="127">
        <f>G779+G778</f>
        <v>1031.5</v>
      </c>
      <c r="H777" s="127">
        <f>H779+H778</f>
        <v>1031.5</v>
      </c>
    </row>
    <row r="778" spans="1:8" ht="47.25">
      <c r="A778" s="40" t="s">
        <v>20</v>
      </c>
      <c r="B778" s="43" t="s">
        <v>86</v>
      </c>
      <c r="C778" s="43" t="s">
        <v>54</v>
      </c>
      <c r="D778" s="43" t="s">
        <v>517</v>
      </c>
      <c r="E778" s="44" t="s">
        <v>100</v>
      </c>
      <c r="F778" s="127">
        <v>15.3</v>
      </c>
      <c r="G778" s="127">
        <v>15.3</v>
      </c>
      <c r="H778" s="127">
        <v>15.3</v>
      </c>
    </row>
    <row r="779" spans="1:8" ht="31.5">
      <c r="A779" s="40" t="s">
        <v>416</v>
      </c>
      <c r="B779" s="43" t="s">
        <v>86</v>
      </c>
      <c r="C779" s="43" t="s">
        <v>54</v>
      </c>
      <c r="D779" s="43" t="s">
        <v>517</v>
      </c>
      <c r="E779" s="44" t="s">
        <v>415</v>
      </c>
      <c r="F779" s="127">
        <v>1016.2</v>
      </c>
      <c r="G779" s="127">
        <v>1016.2</v>
      </c>
      <c r="H779" s="127">
        <v>1016.2</v>
      </c>
    </row>
    <row r="780" spans="1:8" ht="31.5">
      <c r="A780" s="37" t="s">
        <v>738</v>
      </c>
      <c r="B780" s="43" t="s">
        <v>86</v>
      </c>
      <c r="C780" s="43" t="s">
        <v>54</v>
      </c>
      <c r="D780" s="44" t="s">
        <v>132</v>
      </c>
      <c r="E780" s="44"/>
      <c r="F780" s="47">
        <f>F781</f>
        <v>642.6</v>
      </c>
      <c r="G780" s="47">
        <f aca="true" t="shared" si="99" ref="G780:H783">G781</f>
        <v>640.8</v>
      </c>
      <c r="H780" s="47">
        <f t="shared" si="99"/>
        <v>630.2</v>
      </c>
    </row>
    <row r="781" spans="1:8" ht="47.25">
      <c r="A781" s="124" t="s">
        <v>414</v>
      </c>
      <c r="B781" s="43" t="s">
        <v>86</v>
      </c>
      <c r="C781" s="43" t="s">
        <v>54</v>
      </c>
      <c r="D781" s="43" t="s">
        <v>245</v>
      </c>
      <c r="E781" s="44"/>
      <c r="F781" s="47">
        <f>F782</f>
        <v>642.6</v>
      </c>
      <c r="G781" s="47">
        <f t="shared" si="99"/>
        <v>640.8</v>
      </c>
      <c r="H781" s="47">
        <f t="shared" si="99"/>
        <v>630.2</v>
      </c>
    </row>
    <row r="782" spans="1:8" ht="47.25">
      <c r="A782" s="124" t="s">
        <v>376</v>
      </c>
      <c r="B782" s="43" t="s">
        <v>86</v>
      </c>
      <c r="C782" s="43" t="s">
        <v>54</v>
      </c>
      <c r="D782" s="43" t="s">
        <v>246</v>
      </c>
      <c r="E782" s="48"/>
      <c r="F782" s="47">
        <f>F783</f>
        <v>642.6</v>
      </c>
      <c r="G782" s="47">
        <f t="shared" si="99"/>
        <v>640.8</v>
      </c>
      <c r="H782" s="47">
        <f t="shared" si="99"/>
        <v>630.2</v>
      </c>
    </row>
    <row r="783" spans="1:8" ht="31.5">
      <c r="A783" s="124" t="s">
        <v>477</v>
      </c>
      <c r="B783" s="43" t="s">
        <v>86</v>
      </c>
      <c r="C783" s="43" t="s">
        <v>54</v>
      </c>
      <c r="D783" s="43" t="s">
        <v>402</v>
      </c>
      <c r="E783" s="44"/>
      <c r="F783" s="47">
        <f>F784</f>
        <v>642.6</v>
      </c>
      <c r="G783" s="47">
        <f t="shared" si="99"/>
        <v>640.8</v>
      </c>
      <c r="H783" s="47">
        <f t="shared" si="99"/>
        <v>630.2</v>
      </c>
    </row>
    <row r="784" spans="1:8" ht="31.5">
      <c r="A784" s="40" t="s">
        <v>221</v>
      </c>
      <c r="B784" s="43" t="s">
        <v>86</v>
      </c>
      <c r="C784" s="43" t="s">
        <v>54</v>
      </c>
      <c r="D784" s="43" t="s">
        <v>402</v>
      </c>
      <c r="E784" s="44" t="s">
        <v>222</v>
      </c>
      <c r="F784" s="146">
        <v>642.6</v>
      </c>
      <c r="G784" s="47">
        <f>426.6+214.2</f>
        <v>640.8</v>
      </c>
      <c r="H784" s="47">
        <f>416+214.2</f>
        <v>630.2</v>
      </c>
    </row>
    <row r="785" spans="1:8" ht="63" hidden="1">
      <c r="A785" s="40" t="s">
        <v>789</v>
      </c>
      <c r="B785" s="43" t="s">
        <v>86</v>
      </c>
      <c r="C785" s="43" t="s">
        <v>54</v>
      </c>
      <c r="D785" s="43" t="s">
        <v>484</v>
      </c>
      <c r="E785" s="44"/>
      <c r="F785" s="127">
        <f>F786</f>
        <v>0</v>
      </c>
      <c r="G785" s="47"/>
      <c r="H785" s="47"/>
    </row>
    <row r="786" spans="1:8" ht="47.25" hidden="1">
      <c r="A786" s="124" t="s">
        <v>554</v>
      </c>
      <c r="B786" s="43" t="s">
        <v>86</v>
      </c>
      <c r="C786" s="43" t="s">
        <v>54</v>
      </c>
      <c r="D786" s="43" t="s">
        <v>570</v>
      </c>
      <c r="E786" s="74"/>
      <c r="F786" s="94">
        <f>F787</f>
        <v>0</v>
      </c>
      <c r="G786" s="94"/>
      <c r="H786" s="94"/>
    </row>
    <row r="787" spans="1:8" ht="31.5" hidden="1">
      <c r="A787" s="40" t="s">
        <v>556</v>
      </c>
      <c r="B787" s="43" t="s">
        <v>86</v>
      </c>
      <c r="C787" s="43" t="s">
        <v>54</v>
      </c>
      <c r="D787" s="43" t="s">
        <v>571</v>
      </c>
      <c r="E787" s="74"/>
      <c r="F787" s="94">
        <f>F788</f>
        <v>0</v>
      </c>
      <c r="G787" s="94"/>
      <c r="H787" s="94"/>
    </row>
    <row r="788" spans="1:8" ht="31.5" hidden="1">
      <c r="A788" s="40" t="s">
        <v>221</v>
      </c>
      <c r="B788" s="43" t="s">
        <v>86</v>
      </c>
      <c r="C788" s="43" t="s">
        <v>54</v>
      </c>
      <c r="D788" s="43" t="s">
        <v>571</v>
      </c>
      <c r="E788" s="74" t="s">
        <v>222</v>
      </c>
      <c r="F788" s="94">
        <v>0</v>
      </c>
      <c r="G788" s="94"/>
      <c r="H788" s="94"/>
    </row>
    <row r="789" spans="1:8" ht="15.75" hidden="1">
      <c r="A789" s="40" t="s">
        <v>214</v>
      </c>
      <c r="B789" s="43" t="s">
        <v>86</v>
      </c>
      <c r="C789" s="43" t="s">
        <v>54</v>
      </c>
      <c r="D789" s="43" t="s">
        <v>372</v>
      </c>
      <c r="E789" s="43"/>
      <c r="F789" s="94">
        <f>F790</f>
        <v>0</v>
      </c>
      <c r="G789" s="94"/>
      <c r="H789" s="94"/>
    </row>
    <row r="790" spans="1:8" ht="15.75" hidden="1">
      <c r="A790" s="40" t="s">
        <v>215</v>
      </c>
      <c r="B790" s="43" t="s">
        <v>86</v>
      </c>
      <c r="C790" s="43" t="s">
        <v>54</v>
      </c>
      <c r="D790" s="43" t="s">
        <v>373</v>
      </c>
      <c r="E790" s="43"/>
      <c r="F790" s="94">
        <f>F791</f>
        <v>0</v>
      </c>
      <c r="G790" s="94"/>
      <c r="H790" s="94"/>
    </row>
    <row r="791" spans="1:8" ht="31.5" hidden="1">
      <c r="A791" s="40" t="s">
        <v>221</v>
      </c>
      <c r="B791" s="43" t="s">
        <v>86</v>
      </c>
      <c r="C791" s="43" t="s">
        <v>54</v>
      </c>
      <c r="D791" s="43" t="s">
        <v>373</v>
      </c>
      <c r="E791" s="43" t="s">
        <v>222</v>
      </c>
      <c r="F791" s="94">
        <v>0</v>
      </c>
      <c r="G791" s="94"/>
      <c r="H791" s="94"/>
    </row>
    <row r="792" spans="1:8" ht="15.75">
      <c r="A792" s="40" t="s">
        <v>547</v>
      </c>
      <c r="B792" s="43" t="s">
        <v>86</v>
      </c>
      <c r="C792" s="43" t="s">
        <v>54</v>
      </c>
      <c r="D792" s="43" t="s">
        <v>548</v>
      </c>
      <c r="E792" s="44"/>
      <c r="F792" s="146">
        <f aca="true" t="shared" si="100" ref="F792:H793">F793</f>
        <v>80</v>
      </c>
      <c r="G792" s="146">
        <f t="shared" si="100"/>
        <v>80</v>
      </c>
      <c r="H792" s="146">
        <f t="shared" si="100"/>
        <v>80</v>
      </c>
    </row>
    <row r="793" spans="1:8" ht="15.75">
      <c r="A793" s="40" t="s">
        <v>542</v>
      </c>
      <c r="B793" s="43" t="s">
        <v>86</v>
      </c>
      <c r="C793" s="43" t="s">
        <v>54</v>
      </c>
      <c r="D793" s="43" t="s">
        <v>549</v>
      </c>
      <c r="E793" s="44"/>
      <c r="F793" s="146">
        <f t="shared" si="100"/>
        <v>80</v>
      </c>
      <c r="G793" s="146">
        <f t="shared" si="100"/>
        <v>80</v>
      </c>
      <c r="H793" s="146">
        <f t="shared" si="100"/>
        <v>80</v>
      </c>
    </row>
    <row r="794" spans="1:8" ht="31.5">
      <c r="A794" s="40" t="s">
        <v>221</v>
      </c>
      <c r="B794" s="43" t="s">
        <v>86</v>
      </c>
      <c r="C794" s="43" t="s">
        <v>54</v>
      </c>
      <c r="D794" s="43" t="s">
        <v>549</v>
      </c>
      <c r="E794" s="44" t="s">
        <v>222</v>
      </c>
      <c r="F794" s="146">
        <v>80</v>
      </c>
      <c r="G794" s="146">
        <v>80</v>
      </c>
      <c r="H794" s="146">
        <v>80</v>
      </c>
    </row>
    <row r="795" spans="1:8" ht="15.75">
      <c r="A795" s="40" t="s">
        <v>89</v>
      </c>
      <c r="B795" s="43" t="s">
        <v>86</v>
      </c>
      <c r="C795" s="43" t="s">
        <v>56</v>
      </c>
      <c r="D795" s="43"/>
      <c r="E795" s="43"/>
      <c r="F795" s="45">
        <f aca="true" t="shared" si="101" ref="F795:H797">F796</f>
        <v>87.3</v>
      </c>
      <c r="G795" s="45">
        <f t="shared" si="101"/>
        <v>87.3</v>
      </c>
      <c r="H795" s="45">
        <f t="shared" si="101"/>
        <v>87.3</v>
      </c>
    </row>
    <row r="796" spans="1:8" ht="47.25">
      <c r="A796" s="40" t="s">
        <v>932</v>
      </c>
      <c r="B796" s="43" t="s">
        <v>86</v>
      </c>
      <c r="C796" s="43" t="s">
        <v>56</v>
      </c>
      <c r="D796" s="43" t="s">
        <v>369</v>
      </c>
      <c r="E796" s="43"/>
      <c r="F796" s="45">
        <f t="shared" si="101"/>
        <v>87.3</v>
      </c>
      <c r="G796" s="45">
        <f t="shared" si="101"/>
        <v>87.3</v>
      </c>
      <c r="H796" s="45">
        <f t="shared" si="101"/>
        <v>87.3</v>
      </c>
    </row>
    <row r="797" spans="1:8" ht="78.75">
      <c r="A797" s="40" t="s">
        <v>108</v>
      </c>
      <c r="B797" s="43" t="s">
        <v>86</v>
      </c>
      <c r="C797" s="43" t="s">
        <v>56</v>
      </c>
      <c r="D797" s="43" t="s">
        <v>151</v>
      </c>
      <c r="E797" s="43"/>
      <c r="F797" s="45">
        <f>F798</f>
        <v>87.3</v>
      </c>
      <c r="G797" s="45">
        <f t="shared" si="101"/>
        <v>87.3</v>
      </c>
      <c r="H797" s="45">
        <f t="shared" si="101"/>
        <v>87.3</v>
      </c>
    </row>
    <row r="798" spans="1:8" ht="47.25">
      <c r="A798" s="40" t="s">
        <v>152</v>
      </c>
      <c r="B798" s="43" t="s">
        <v>86</v>
      </c>
      <c r="C798" s="43" t="s">
        <v>56</v>
      </c>
      <c r="D798" s="43" t="s">
        <v>153</v>
      </c>
      <c r="E798" s="43"/>
      <c r="F798" s="45">
        <f>F799+F801</f>
        <v>87.3</v>
      </c>
      <c r="G798" s="45">
        <f>G799+G801</f>
        <v>87.3</v>
      </c>
      <c r="H798" s="45">
        <f>H799+H801</f>
        <v>87.3</v>
      </c>
    </row>
    <row r="799" spans="1:8" ht="15.75">
      <c r="A799" s="40" t="s">
        <v>109</v>
      </c>
      <c r="B799" s="43" t="s">
        <v>86</v>
      </c>
      <c r="C799" s="43" t="s">
        <v>56</v>
      </c>
      <c r="D799" s="43" t="s">
        <v>154</v>
      </c>
      <c r="E799" s="43"/>
      <c r="F799" s="45">
        <f>F800</f>
        <v>60</v>
      </c>
      <c r="G799" s="45">
        <f>G800</f>
        <v>60</v>
      </c>
      <c r="H799" s="45">
        <f>H800</f>
        <v>60</v>
      </c>
    </row>
    <row r="800" spans="1:8" ht="15.75">
      <c r="A800" s="40" t="s">
        <v>110</v>
      </c>
      <c r="B800" s="43" t="s">
        <v>86</v>
      </c>
      <c r="C800" s="43" t="s">
        <v>56</v>
      </c>
      <c r="D800" s="43" t="s">
        <v>154</v>
      </c>
      <c r="E800" s="43" t="s">
        <v>111</v>
      </c>
      <c r="F800" s="45">
        <v>60</v>
      </c>
      <c r="G800" s="45">
        <v>60</v>
      </c>
      <c r="H800" s="45">
        <v>60</v>
      </c>
    </row>
    <row r="801" spans="1:8" ht="31.5">
      <c r="A801" s="40" t="s">
        <v>114</v>
      </c>
      <c r="B801" s="43" t="s">
        <v>86</v>
      </c>
      <c r="C801" s="43" t="s">
        <v>56</v>
      </c>
      <c r="D801" s="43" t="s">
        <v>292</v>
      </c>
      <c r="E801" s="43"/>
      <c r="F801" s="45">
        <f>F802</f>
        <v>27.3</v>
      </c>
      <c r="G801" s="45">
        <f>G802</f>
        <v>27.3</v>
      </c>
      <c r="H801" s="45">
        <f>H802</f>
        <v>27.3</v>
      </c>
    </row>
    <row r="802" spans="1:8" ht="15.75">
      <c r="A802" s="40" t="s">
        <v>110</v>
      </c>
      <c r="B802" s="43" t="s">
        <v>86</v>
      </c>
      <c r="C802" s="43" t="s">
        <v>56</v>
      </c>
      <c r="D802" s="43" t="s">
        <v>292</v>
      </c>
      <c r="E802" s="43" t="s">
        <v>111</v>
      </c>
      <c r="F802" s="45">
        <v>27.3</v>
      </c>
      <c r="G802" s="45">
        <v>27.3</v>
      </c>
      <c r="H802" s="45">
        <v>27.3</v>
      </c>
    </row>
    <row r="803" spans="1:116" ht="15.75">
      <c r="A803" s="50" t="s">
        <v>90</v>
      </c>
      <c r="B803" s="46" t="s">
        <v>61</v>
      </c>
      <c r="C803" s="46"/>
      <c r="D803" s="46"/>
      <c r="E803" s="46"/>
      <c r="F803" s="93">
        <f>F804+F839</f>
        <v>80982.00000000001</v>
      </c>
      <c r="G803" s="93">
        <f>G804+G839</f>
        <v>8828.699999999999</v>
      </c>
      <c r="H803" s="93">
        <f>H804+H839</f>
        <v>8828.699999999999</v>
      </c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</row>
    <row r="804" spans="1:116" ht="15.75">
      <c r="A804" s="40" t="s">
        <v>91</v>
      </c>
      <c r="B804" s="43" t="s">
        <v>61</v>
      </c>
      <c r="C804" s="43" t="s">
        <v>52</v>
      </c>
      <c r="D804" s="43"/>
      <c r="E804" s="43"/>
      <c r="F804" s="45">
        <f>F810+F835+F805</f>
        <v>80343.00000000001</v>
      </c>
      <c r="G804" s="45">
        <f>G810+G835</f>
        <v>8362.699999999999</v>
      </c>
      <c r="H804" s="45">
        <f>H810+H835</f>
        <v>8362.699999999999</v>
      </c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</row>
    <row r="805" spans="1:116" ht="69" customHeight="1">
      <c r="A805" s="40" t="s">
        <v>724</v>
      </c>
      <c r="B805" s="43" t="s">
        <v>61</v>
      </c>
      <c r="C805" s="43" t="s">
        <v>52</v>
      </c>
      <c r="D805" s="43" t="s">
        <v>174</v>
      </c>
      <c r="E805" s="43"/>
      <c r="F805" s="59">
        <f>F806</f>
        <v>21.5</v>
      </c>
      <c r="G805" s="59"/>
      <c r="H805" s="59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</row>
    <row r="806" spans="1:116" ht="37.5" customHeight="1">
      <c r="A806" s="40" t="s">
        <v>186</v>
      </c>
      <c r="B806" s="43" t="s">
        <v>61</v>
      </c>
      <c r="C806" s="43" t="s">
        <v>52</v>
      </c>
      <c r="D806" s="43" t="s">
        <v>13</v>
      </c>
      <c r="E806" s="43"/>
      <c r="F806" s="59">
        <f>F807</f>
        <v>21.5</v>
      </c>
      <c r="G806" s="59"/>
      <c r="H806" s="59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</row>
    <row r="807" spans="1:116" ht="57" customHeight="1">
      <c r="A807" s="40" t="s">
        <v>148</v>
      </c>
      <c r="B807" s="43" t="s">
        <v>61</v>
      </c>
      <c r="C807" s="43" t="s">
        <v>52</v>
      </c>
      <c r="D807" s="43" t="s">
        <v>493</v>
      </c>
      <c r="E807" s="43"/>
      <c r="F807" s="59">
        <f>F808</f>
        <v>21.5</v>
      </c>
      <c r="G807" s="59"/>
      <c r="H807" s="59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</row>
    <row r="808" spans="1:116" ht="36" customHeight="1">
      <c r="A808" s="40" t="s">
        <v>185</v>
      </c>
      <c r="B808" s="43" t="s">
        <v>61</v>
      </c>
      <c r="C808" s="43" t="s">
        <v>52</v>
      </c>
      <c r="D808" s="43" t="s">
        <v>15</v>
      </c>
      <c r="E808" s="43"/>
      <c r="F808" s="59">
        <f>F809</f>
        <v>21.5</v>
      </c>
      <c r="G808" s="59"/>
      <c r="H808" s="59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</row>
    <row r="809" spans="1:116" ht="15.75">
      <c r="A809" s="40" t="s">
        <v>110</v>
      </c>
      <c r="B809" s="43" t="s">
        <v>61</v>
      </c>
      <c r="C809" s="43" t="s">
        <v>52</v>
      </c>
      <c r="D809" s="43" t="s">
        <v>15</v>
      </c>
      <c r="E809" s="43" t="s">
        <v>111</v>
      </c>
      <c r="F809" s="59">
        <v>21.5</v>
      </c>
      <c r="G809" s="59"/>
      <c r="H809" s="59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</row>
    <row r="810" spans="1:116" ht="63">
      <c r="A810" s="40" t="s">
        <v>770</v>
      </c>
      <c r="B810" s="43" t="s">
        <v>61</v>
      </c>
      <c r="C810" s="43" t="s">
        <v>52</v>
      </c>
      <c r="D810" s="44" t="s">
        <v>149</v>
      </c>
      <c r="E810" s="44"/>
      <c r="F810" s="47">
        <f>F811+F826</f>
        <v>80221.50000000001</v>
      </c>
      <c r="G810" s="47">
        <f>G811+G826</f>
        <v>8262.699999999999</v>
      </c>
      <c r="H810" s="47">
        <f>H811+H826</f>
        <v>8262.699999999999</v>
      </c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</row>
    <row r="811" spans="1:116" ht="47.25">
      <c r="A811" s="40" t="s">
        <v>309</v>
      </c>
      <c r="B811" s="43" t="s">
        <v>61</v>
      </c>
      <c r="C811" s="43" t="s">
        <v>52</v>
      </c>
      <c r="D811" s="44" t="s">
        <v>311</v>
      </c>
      <c r="E811" s="44"/>
      <c r="F811" s="47">
        <f>F812+F816+F823</f>
        <v>72729.90000000001</v>
      </c>
      <c r="G811" s="47">
        <f>G812+G816+G823</f>
        <v>771.1</v>
      </c>
      <c r="H811" s="47">
        <f>H812+H816+H823</f>
        <v>771.1</v>
      </c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</row>
    <row r="812" spans="1:116" ht="63">
      <c r="A812" s="40" t="s">
        <v>310</v>
      </c>
      <c r="B812" s="43" t="s">
        <v>61</v>
      </c>
      <c r="C812" s="43" t="s">
        <v>52</v>
      </c>
      <c r="D812" s="44" t="s">
        <v>312</v>
      </c>
      <c r="E812" s="44"/>
      <c r="F812" s="47">
        <f>F813</f>
        <v>771.1</v>
      </c>
      <c r="G812" s="47">
        <f>G813</f>
        <v>771.1</v>
      </c>
      <c r="H812" s="47">
        <f>H813</f>
        <v>771.1</v>
      </c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</row>
    <row r="813" spans="1:116" ht="47.25">
      <c r="A813" s="40" t="s">
        <v>472</v>
      </c>
      <c r="B813" s="43" t="s">
        <v>61</v>
      </c>
      <c r="C813" s="43" t="s">
        <v>52</v>
      </c>
      <c r="D813" s="44" t="s">
        <v>471</v>
      </c>
      <c r="E813" s="44"/>
      <c r="F813" s="127">
        <f>F815+F814</f>
        <v>771.1</v>
      </c>
      <c r="G813" s="127">
        <f>G815+G814</f>
        <v>771.1</v>
      </c>
      <c r="H813" s="127">
        <f>H815+H814</f>
        <v>771.1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</row>
    <row r="814" spans="1:116" ht="31.5">
      <c r="A814" s="40" t="s">
        <v>96</v>
      </c>
      <c r="B814" s="43" t="s">
        <v>61</v>
      </c>
      <c r="C814" s="43" t="s">
        <v>52</v>
      </c>
      <c r="D814" s="44" t="s">
        <v>471</v>
      </c>
      <c r="E814" s="44" t="s">
        <v>97</v>
      </c>
      <c r="F814" s="47">
        <v>198.9</v>
      </c>
      <c r="G814" s="47">
        <v>148</v>
      </c>
      <c r="H814" s="47">
        <v>148</v>
      </c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</row>
    <row r="815" spans="1:116" ht="47.25">
      <c r="A815" s="40" t="s">
        <v>20</v>
      </c>
      <c r="B815" s="43" t="s">
        <v>61</v>
      </c>
      <c r="C815" s="43" t="s">
        <v>52</v>
      </c>
      <c r="D815" s="44" t="s">
        <v>471</v>
      </c>
      <c r="E815" s="44" t="s">
        <v>100</v>
      </c>
      <c r="F815" s="146">
        <v>572.2</v>
      </c>
      <c r="G815" s="146">
        <f>806.1-148-35</f>
        <v>623.1</v>
      </c>
      <c r="H815" s="146">
        <f>806.1-148-35</f>
        <v>623.1</v>
      </c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</row>
    <row r="816" spans="1:116" ht="94.5">
      <c r="A816" s="40" t="s">
        <v>413</v>
      </c>
      <c r="B816" s="43" t="s">
        <v>61</v>
      </c>
      <c r="C816" s="43" t="s">
        <v>52</v>
      </c>
      <c r="D816" s="44" t="s">
        <v>412</v>
      </c>
      <c r="E816" s="44"/>
      <c r="F816" s="127">
        <f>F817+F821+F819</f>
        <v>68216.2</v>
      </c>
      <c r="G816" s="127">
        <f>G817+G821</f>
        <v>0</v>
      </c>
      <c r="H816" s="127">
        <f>H817+H821</f>
        <v>0</v>
      </c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</row>
    <row r="817" spans="1:116" ht="31.5" hidden="1">
      <c r="A817" s="40" t="s">
        <v>104</v>
      </c>
      <c r="B817" s="43" t="s">
        <v>61</v>
      </c>
      <c r="C817" s="43" t="s">
        <v>52</v>
      </c>
      <c r="D817" s="44" t="s">
        <v>603</v>
      </c>
      <c r="E817" s="44"/>
      <c r="F817" s="127">
        <f>F818</f>
        <v>0</v>
      </c>
      <c r="G817" s="127">
        <f>G818</f>
        <v>0</v>
      </c>
      <c r="H817" s="127">
        <f>H818</f>
        <v>0</v>
      </c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</row>
    <row r="818" spans="1:116" ht="141.75" hidden="1">
      <c r="A818" s="40" t="s">
        <v>418</v>
      </c>
      <c r="B818" s="43" t="s">
        <v>61</v>
      </c>
      <c r="C818" s="43" t="s">
        <v>52</v>
      </c>
      <c r="D818" s="44" t="s">
        <v>603</v>
      </c>
      <c r="E818" s="44" t="s">
        <v>417</v>
      </c>
      <c r="F818" s="127">
        <v>0</v>
      </c>
      <c r="G818" s="127">
        <v>0</v>
      </c>
      <c r="H818" s="127">
        <v>0</v>
      </c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</row>
    <row r="819" spans="1:116" ht="31.5">
      <c r="A819" s="40" t="s">
        <v>114</v>
      </c>
      <c r="B819" s="43" t="s">
        <v>61</v>
      </c>
      <c r="C819" s="43" t="s">
        <v>52</v>
      </c>
      <c r="D819" s="44" t="s">
        <v>1019</v>
      </c>
      <c r="E819" s="43"/>
      <c r="F819" s="45">
        <f>F820</f>
        <v>500</v>
      </c>
      <c r="G819" s="45"/>
      <c r="H819" s="4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</row>
    <row r="820" spans="1:116" ht="15.75">
      <c r="A820" s="40" t="s">
        <v>110</v>
      </c>
      <c r="B820" s="43" t="s">
        <v>61</v>
      </c>
      <c r="C820" s="43" t="s">
        <v>52</v>
      </c>
      <c r="D820" s="44" t="s">
        <v>1019</v>
      </c>
      <c r="E820" s="43" t="s">
        <v>111</v>
      </c>
      <c r="F820" s="45">
        <v>500</v>
      </c>
      <c r="G820" s="45"/>
      <c r="H820" s="4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</row>
    <row r="821" spans="1:116" ht="78.75">
      <c r="A821" s="40" t="s">
        <v>604</v>
      </c>
      <c r="B821" s="43" t="s">
        <v>61</v>
      </c>
      <c r="C821" s="43" t="s">
        <v>52</v>
      </c>
      <c r="D821" s="44" t="s">
        <v>602</v>
      </c>
      <c r="E821" s="44"/>
      <c r="F821" s="127">
        <f>F822</f>
        <v>67716.2</v>
      </c>
      <c r="G821" s="127">
        <f>G822</f>
        <v>0</v>
      </c>
      <c r="H821" s="127">
        <f>H822</f>
        <v>0</v>
      </c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</row>
    <row r="822" spans="1:116" ht="141.75">
      <c r="A822" s="40" t="s">
        <v>418</v>
      </c>
      <c r="B822" s="43" t="s">
        <v>61</v>
      </c>
      <c r="C822" s="43" t="s">
        <v>52</v>
      </c>
      <c r="D822" s="44" t="s">
        <v>602</v>
      </c>
      <c r="E822" s="44" t="s">
        <v>417</v>
      </c>
      <c r="F822" s="127">
        <f>67039+677.2</f>
        <v>67716.2</v>
      </c>
      <c r="G822" s="127">
        <v>0</v>
      </c>
      <c r="H822" s="127">
        <v>0</v>
      </c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</row>
    <row r="823" spans="1:116" ht="31.5">
      <c r="A823" s="40" t="s">
        <v>526</v>
      </c>
      <c r="B823" s="43" t="s">
        <v>61</v>
      </c>
      <c r="C823" s="43" t="s">
        <v>52</v>
      </c>
      <c r="D823" s="44" t="s">
        <v>527</v>
      </c>
      <c r="E823" s="44"/>
      <c r="F823" s="127">
        <f aca="true" t="shared" si="102" ref="F823:H824">F824</f>
        <v>3742.6</v>
      </c>
      <c r="G823" s="127">
        <f t="shared" si="102"/>
        <v>0</v>
      </c>
      <c r="H823" s="127">
        <f t="shared" si="102"/>
        <v>0</v>
      </c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</row>
    <row r="824" spans="1:116" ht="47.25">
      <c r="A824" s="40" t="s">
        <v>562</v>
      </c>
      <c r="B824" s="43" t="s">
        <v>61</v>
      </c>
      <c r="C824" s="43" t="s">
        <v>52</v>
      </c>
      <c r="D824" s="44" t="s">
        <v>528</v>
      </c>
      <c r="E824" s="44"/>
      <c r="F824" s="127">
        <f t="shared" si="102"/>
        <v>3742.6</v>
      </c>
      <c r="G824" s="127">
        <f t="shared" si="102"/>
        <v>0</v>
      </c>
      <c r="H824" s="127">
        <f t="shared" si="102"/>
        <v>0</v>
      </c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</row>
    <row r="825" spans="1:116" ht="47.25">
      <c r="A825" s="40" t="s">
        <v>20</v>
      </c>
      <c r="B825" s="43" t="s">
        <v>61</v>
      </c>
      <c r="C825" s="43" t="s">
        <v>52</v>
      </c>
      <c r="D825" s="44" t="s">
        <v>528</v>
      </c>
      <c r="E825" s="44" t="s">
        <v>100</v>
      </c>
      <c r="F825" s="127">
        <f>3667.7+74.9</f>
        <v>3742.6</v>
      </c>
      <c r="G825" s="127">
        <v>0</v>
      </c>
      <c r="H825" s="127">
        <v>0</v>
      </c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</row>
    <row r="826" spans="1:116" ht="31.5">
      <c r="A826" s="40" t="s">
        <v>313</v>
      </c>
      <c r="B826" s="43" t="s">
        <v>61</v>
      </c>
      <c r="C826" s="43" t="s">
        <v>52</v>
      </c>
      <c r="D826" s="44" t="s">
        <v>330</v>
      </c>
      <c r="E826" s="44"/>
      <c r="F826" s="47">
        <f>F827+F832</f>
        <v>7491.599999999999</v>
      </c>
      <c r="G826" s="47">
        <f>G827+G832</f>
        <v>7491.599999999999</v>
      </c>
      <c r="H826" s="47">
        <f>H827+H832</f>
        <v>7491.599999999999</v>
      </c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</row>
    <row r="827" spans="1:116" ht="63">
      <c r="A827" s="40" t="s">
        <v>314</v>
      </c>
      <c r="B827" s="43" t="s">
        <v>61</v>
      </c>
      <c r="C827" s="43" t="s">
        <v>52</v>
      </c>
      <c r="D827" s="44" t="s">
        <v>331</v>
      </c>
      <c r="E827" s="44"/>
      <c r="F827" s="47">
        <f>F828+F830</f>
        <v>6824.9</v>
      </c>
      <c r="G827" s="47">
        <f>G828+G830</f>
        <v>6824.9</v>
      </c>
      <c r="H827" s="47">
        <f>H828+H830</f>
        <v>6824.9</v>
      </c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</row>
    <row r="828" spans="1:116" ht="31.5">
      <c r="A828" s="40" t="s">
        <v>104</v>
      </c>
      <c r="B828" s="43" t="s">
        <v>61</v>
      </c>
      <c r="C828" s="43" t="s">
        <v>52</v>
      </c>
      <c r="D828" s="44" t="s">
        <v>332</v>
      </c>
      <c r="E828" s="44"/>
      <c r="F828" s="47">
        <f>F829</f>
        <v>5279.099999999999</v>
      </c>
      <c r="G828" s="47">
        <f>G829</f>
        <v>5212.9</v>
      </c>
      <c r="H828" s="47">
        <f>H829</f>
        <v>5144.299999999999</v>
      </c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</row>
    <row r="829" spans="1:116" ht="15.75">
      <c r="A829" s="40" t="s">
        <v>110</v>
      </c>
      <c r="B829" s="43" t="s">
        <v>61</v>
      </c>
      <c r="C829" s="43" t="s">
        <v>52</v>
      </c>
      <c r="D829" s="44" t="s">
        <v>332</v>
      </c>
      <c r="E829" s="44" t="s">
        <v>111</v>
      </c>
      <c r="F829" s="146">
        <f>6924.9-1545.8-100</f>
        <v>5279.099999999999</v>
      </c>
      <c r="G829" s="146">
        <f>6924.9-1612-100</f>
        <v>5212.9</v>
      </c>
      <c r="H829" s="146">
        <f>6924.9-1680.6-100</f>
        <v>5144.299999999999</v>
      </c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</row>
    <row r="830" spans="1:116" ht="47.25">
      <c r="A830" s="40" t="s">
        <v>462</v>
      </c>
      <c r="B830" s="43" t="s">
        <v>61</v>
      </c>
      <c r="C830" s="43" t="s">
        <v>52</v>
      </c>
      <c r="D830" s="44" t="s">
        <v>470</v>
      </c>
      <c r="E830" s="44"/>
      <c r="F830" s="127">
        <f>F831</f>
        <v>1545.8</v>
      </c>
      <c r="G830" s="127">
        <f>G831</f>
        <v>1612</v>
      </c>
      <c r="H830" s="127">
        <f>H831</f>
        <v>1680.6</v>
      </c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</row>
    <row r="831" spans="1:116" ht="15.75">
      <c r="A831" s="40" t="s">
        <v>110</v>
      </c>
      <c r="B831" s="43" t="s">
        <v>61</v>
      </c>
      <c r="C831" s="43" t="s">
        <v>52</v>
      </c>
      <c r="D831" s="44" t="s">
        <v>470</v>
      </c>
      <c r="E831" s="44" t="s">
        <v>111</v>
      </c>
      <c r="F831" s="146">
        <v>1545.8</v>
      </c>
      <c r="G831" s="146">
        <v>1612</v>
      </c>
      <c r="H831" s="146">
        <v>1680.6</v>
      </c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</row>
    <row r="832" spans="1:116" ht="87.75" customHeight="1">
      <c r="A832" s="40" t="s">
        <v>539</v>
      </c>
      <c r="B832" s="43" t="s">
        <v>61</v>
      </c>
      <c r="C832" s="43" t="s">
        <v>52</v>
      </c>
      <c r="D832" s="44" t="s">
        <v>540</v>
      </c>
      <c r="E832" s="44"/>
      <c r="F832" s="47">
        <f aca="true" t="shared" si="103" ref="F832:H833">F833</f>
        <v>666.7</v>
      </c>
      <c r="G832" s="47">
        <f t="shared" si="103"/>
        <v>666.7</v>
      </c>
      <c r="H832" s="47">
        <f t="shared" si="103"/>
        <v>666.7</v>
      </c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</row>
    <row r="833" spans="1:116" ht="84.75" customHeight="1">
      <c r="A833" s="40" t="s">
        <v>503</v>
      </c>
      <c r="B833" s="43" t="s">
        <v>61</v>
      </c>
      <c r="C833" s="43" t="s">
        <v>52</v>
      </c>
      <c r="D833" s="44" t="s">
        <v>541</v>
      </c>
      <c r="E833" s="44"/>
      <c r="F833" s="47">
        <f t="shared" si="103"/>
        <v>666.7</v>
      </c>
      <c r="G833" s="47">
        <f t="shared" si="103"/>
        <v>666.7</v>
      </c>
      <c r="H833" s="47">
        <f t="shared" si="103"/>
        <v>666.7</v>
      </c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</row>
    <row r="834" spans="1:116" ht="27" customHeight="1">
      <c r="A834" s="40" t="s">
        <v>110</v>
      </c>
      <c r="B834" s="43" t="s">
        <v>61</v>
      </c>
      <c r="C834" s="43" t="s">
        <v>52</v>
      </c>
      <c r="D834" s="44" t="s">
        <v>541</v>
      </c>
      <c r="E834" s="44" t="s">
        <v>111</v>
      </c>
      <c r="F834" s="47">
        <f>600+66.7</f>
        <v>666.7</v>
      </c>
      <c r="G834" s="47">
        <f>600+66.7</f>
        <v>666.7</v>
      </c>
      <c r="H834" s="47">
        <f>600+66.7</f>
        <v>666.7</v>
      </c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</row>
    <row r="835" spans="1:116" ht="63">
      <c r="A835" s="40" t="s">
        <v>772</v>
      </c>
      <c r="B835" s="43" t="s">
        <v>61</v>
      </c>
      <c r="C835" s="43" t="s">
        <v>52</v>
      </c>
      <c r="D835" s="43" t="s">
        <v>560</v>
      </c>
      <c r="E835" s="74"/>
      <c r="F835" s="94">
        <f>F836</f>
        <v>100</v>
      </c>
      <c r="G835" s="94">
        <f aca="true" t="shared" si="104" ref="G835:H837">G836</f>
        <v>100</v>
      </c>
      <c r="H835" s="94">
        <f t="shared" si="104"/>
        <v>100</v>
      </c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</row>
    <row r="836" spans="1:116" ht="47.25">
      <c r="A836" s="40" t="s">
        <v>773</v>
      </c>
      <c r="B836" s="43" t="s">
        <v>61</v>
      </c>
      <c r="C836" s="43" t="s">
        <v>52</v>
      </c>
      <c r="D836" s="43" t="s">
        <v>561</v>
      </c>
      <c r="E836" s="74"/>
      <c r="F836" s="94">
        <f>F837</f>
        <v>100</v>
      </c>
      <c r="G836" s="94">
        <f t="shared" si="104"/>
        <v>100</v>
      </c>
      <c r="H836" s="94">
        <f t="shared" si="104"/>
        <v>100</v>
      </c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</row>
    <row r="837" spans="1:116" ht="47.25">
      <c r="A837" s="40" t="s">
        <v>472</v>
      </c>
      <c r="B837" s="43" t="s">
        <v>61</v>
      </c>
      <c r="C837" s="43" t="s">
        <v>52</v>
      </c>
      <c r="D837" s="43" t="s">
        <v>563</v>
      </c>
      <c r="E837" s="74"/>
      <c r="F837" s="94">
        <f>F838</f>
        <v>100</v>
      </c>
      <c r="G837" s="94">
        <f t="shared" si="104"/>
        <v>100</v>
      </c>
      <c r="H837" s="94">
        <f t="shared" si="104"/>
        <v>100</v>
      </c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</row>
    <row r="838" spans="1:116" ht="47.25">
      <c r="A838" s="40" t="s">
        <v>20</v>
      </c>
      <c r="B838" s="43" t="s">
        <v>61</v>
      </c>
      <c r="C838" s="43" t="s">
        <v>52</v>
      </c>
      <c r="D838" s="43" t="s">
        <v>563</v>
      </c>
      <c r="E838" s="74" t="s">
        <v>100</v>
      </c>
      <c r="F838" s="94">
        <v>100</v>
      </c>
      <c r="G838" s="94">
        <v>100</v>
      </c>
      <c r="H838" s="94">
        <v>100</v>
      </c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</row>
    <row r="839" spans="1:116" ht="15.75">
      <c r="A839" s="40" t="s">
        <v>446</v>
      </c>
      <c r="B839" s="43" t="s">
        <v>61</v>
      </c>
      <c r="C839" s="43" t="s">
        <v>54</v>
      </c>
      <c r="D839" s="43"/>
      <c r="E839" s="43"/>
      <c r="F839" s="45">
        <f aca="true" t="shared" si="105" ref="F839:H840">F840</f>
        <v>639</v>
      </c>
      <c r="G839" s="45">
        <f t="shared" si="105"/>
        <v>466</v>
      </c>
      <c r="H839" s="45">
        <f t="shared" si="105"/>
        <v>466</v>
      </c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</row>
    <row r="840" spans="1:116" ht="56.25" customHeight="1">
      <c r="A840" s="40" t="s">
        <v>932</v>
      </c>
      <c r="B840" s="43" t="s">
        <v>61</v>
      </c>
      <c r="C840" s="43" t="s">
        <v>54</v>
      </c>
      <c r="D840" s="43" t="s">
        <v>369</v>
      </c>
      <c r="E840" s="43"/>
      <c r="F840" s="45">
        <f>F841</f>
        <v>639</v>
      </c>
      <c r="G840" s="45">
        <f t="shared" si="105"/>
        <v>466</v>
      </c>
      <c r="H840" s="45">
        <f t="shared" si="105"/>
        <v>466</v>
      </c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</row>
    <row r="841" spans="1:116" ht="31.5">
      <c r="A841" s="40" t="s">
        <v>447</v>
      </c>
      <c r="B841" s="43" t="s">
        <v>61</v>
      </c>
      <c r="C841" s="43" t="s">
        <v>54</v>
      </c>
      <c r="D841" s="43" t="s">
        <v>703</v>
      </c>
      <c r="E841" s="43"/>
      <c r="F841" s="45">
        <f>F842+F845</f>
        <v>639</v>
      </c>
      <c r="G841" s="45">
        <f>G842+G845</f>
        <v>466</v>
      </c>
      <c r="H841" s="45">
        <f>H842+H845</f>
        <v>466</v>
      </c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</row>
    <row r="842" spans="1:116" ht="31.5">
      <c r="A842" s="40" t="s">
        <v>448</v>
      </c>
      <c r="B842" s="43" t="s">
        <v>61</v>
      </c>
      <c r="C842" s="43" t="s">
        <v>54</v>
      </c>
      <c r="D842" s="43" t="s">
        <v>704</v>
      </c>
      <c r="E842" s="43"/>
      <c r="F842" s="45">
        <f aca="true" t="shared" si="106" ref="F842:H843">F843</f>
        <v>639</v>
      </c>
      <c r="G842" s="45">
        <f t="shared" si="106"/>
        <v>466</v>
      </c>
      <c r="H842" s="45">
        <f t="shared" si="106"/>
        <v>466</v>
      </c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</row>
    <row r="843" spans="1:116" ht="15.75">
      <c r="A843" s="40" t="s">
        <v>113</v>
      </c>
      <c r="B843" s="43" t="s">
        <v>61</v>
      </c>
      <c r="C843" s="43" t="s">
        <v>54</v>
      </c>
      <c r="D843" s="43" t="s">
        <v>705</v>
      </c>
      <c r="E843" s="43"/>
      <c r="F843" s="45">
        <f t="shared" si="106"/>
        <v>639</v>
      </c>
      <c r="G843" s="45">
        <f t="shared" si="106"/>
        <v>466</v>
      </c>
      <c r="H843" s="45">
        <f t="shared" si="106"/>
        <v>466</v>
      </c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</row>
    <row r="844" spans="1:116" ht="15.75">
      <c r="A844" s="40" t="s">
        <v>110</v>
      </c>
      <c r="B844" s="43" t="s">
        <v>61</v>
      </c>
      <c r="C844" s="43" t="s">
        <v>54</v>
      </c>
      <c r="D844" s="43" t="s">
        <v>705</v>
      </c>
      <c r="E844" s="43" t="s">
        <v>111</v>
      </c>
      <c r="F844" s="45">
        <v>639</v>
      </c>
      <c r="G844" s="45">
        <v>466</v>
      </c>
      <c r="H844" s="45">
        <v>466</v>
      </c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</row>
    <row r="845" spans="1:116" ht="47.25" hidden="1">
      <c r="A845" s="40" t="s">
        <v>449</v>
      </c>
      <c r="B845" s="43" t="s">
        <v>61</v>
      </c>
      <c r="C845" s="43" t="s">
        <v>54</v>
      </c>
      <c r="D845" s="43" t="s">
        <v>706</v>
      </c>
      <c r="E845" s="43"/>
      <c r="F845" s="45">
        <f aca="true" t="shared" si="107" ref="F845:H846">F846</f>
        <v>0</v>
      </c>
      <c r="G845" s="45">
        <f t="shared" si="107"/>
        <v>0</v>
      </c>
      <c r="H845" s="45">
        <f t="shared" si="107"/>
        <v>0</v>
      </c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</row>
    <row r="846" spans="1:116" ht="15.75" hidden="1">
      <c r="A846" s="40" t="s">
        <v>113</v>
      </c>
      <c r="B846" s="43" t="s">
        <v>61</v>
      </c>
      <c r="C846" s="43" t="s">
        <v>54</v>
      </c>
      <c r="D846" s="43" t="s">
        <v>707</v>
      </c>
      <c r="E846" s="43"/>
      <c r="F846" s="45">
        <f t="shared" si="107"/>
        <v>0</v>
      </c>
      <c r="G846" s="45">
        <f t="shared" si="107"/>
        <v>0</v>
      </c>
      <c r="H846" s="45">
        <f t="shared" si="107"/>
        <v>0</v>
      </c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</row>
    <row r="847" spans="1:116" ht="15.75" hidden="1">
      <c r="A847" s="40" t="s">
        <v>110</v>
      </c>
      <c r="B847" s="43" t="s">
        <v>61</v>
      </c>
      <c r="C847" s="43" t="s">
        <v>54</v>
      </c>
      <c r="D847" s="43" t="s">
        <v>707</v>
      </c>
      <c r="E847" s="43" t="s">
        <v>111</v>
      </c>
      <c r="F847" s="45">
        <v>0</v>
      </c>
      <c r="G847" s="45">
        <v>0</v>
      </c>
      <c r="H847" s="45">
        <v>0</v>
      </c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</row>
    <row r="848" spans="1:116" ht="15.75">
      <c r="A848" s="56" t="s">
        <v>92</v>
      </c>
      <c r="B848" s="237"/>
      <c r="C848" s="238"/>
      <c r="D848" s="238"/>
      <c r="E848" s="239"/>
      <c r="F848" s="91">
        <f>F17+F184+F253+F291+F428+F446+F632+F703+F709+F803+F173</f>
        <v>994133.7</v>
      </c>
      <c r="G848" s="91">
        <f>G17+G184+G253+G291+G428+G446+G632+G703+G709+G803+G173</f>
        <v>744896.5</v>
      </c>
      <c r="H848" s="91">
        <f>H17+H184+H253+H291+H428+H446+H632+H703+H709+H803+H173</f>
        <v>510423.49999999994</v>
      </c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</row>
    <row r="849" spans="1:116" ht="15.75">
      <c r="A849" s="56" t="s">
        <v>119</v>
      </c>
      <c r="B849" s="229"/>
      <c r="C849" s="230"/>
      <c r="D849" s="230"/>
      <c r="E849" s="231"/>
      <c r="F849" s="73"/>
      <c r="G849" s="73">
        <v>9115.4</v>
      </c>
      <c r="H849" s="108">
        <v>17960.9</v>
      </c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</row>
    <row r="850" spans="1:116" ht="15.75">
      <c r="A850" s="56" t="s">
        <v>120</v>
      </c>
      <c r="B850" s="229"/>
      <c r="C850" s="230"/>
      <c r="D850" s="230"/>
      <c r="E850" s="231"/>
      <c r="F850" s="73">
        <f>F848+F849</f>
        <v>994133.7</v>
      </c>
      <c r="G850" s="73">
        <f>G848+G849</f>
        <v>754011.9</v>
      </c>
      <c r="H850" s="73">
        <f>H848+H849</f>
        <v>528384.3999999999</v>
      </c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</row>
    <row r="851" spans="8:116" ht="15.75">
      <c r="H851" s="16" t="s">
        <v>601</v>
      </c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</row>
    <row r="852" spans="8:116" ht="14.25">
      <c r="H852" s="3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</row>
  </sheetData>
  <sheetProtection formatRows="0" insertColumns="0" insertRows="0" insertHyperlinks="0" deleteColumns="0" deleteRows="0" selectLockedCells="1" sort="0" selectUnlockedCells="1"/>
  <mergeCells count="19">
    <mergeCell ref="B5:H5"/>
    <mergeCell ref="B6:H6"/>
    <mergeCell ref="A13:H13"/>
    <mergeCell ref="E14:E15"/>
    <mergeCell ref="B849:E849"/>
    <mergeCell ref="A14:A15"/>
    <mergeCell ref="A10:H11"/>
    <mergeCell ref="B7:H7"/>
    <mergeCell ref="B8:H8"/>
    <mergeCell ref="B1:H1"/>
    <mergeCell ref="B2:H2"/>
    <mergeCell ref="B3:H3"/>
    <mergeCell ref="B4:H4"/>
    <mergeCell ref="B850:E850"/>
    <mergeCell ref="B14:B15"/>
    <mergeCell ref="F14:H14"/>
    <mergeCell ref="B848:E848"/>
    <mergeCell ref="C14:C15"/>
    <mergeCell ref="D14:D15"/>
  </mergeCells>
  <conditionalFormatting sqref="A425:A427">
    <cfRule type="duplicateValues" priority="3" dxfId="12" stopIfTrue="1">
      <formula>AND(COUNTIF($A$425:$A$427,A425)&gt;1,NOT(ISBLANK(A425)))</formula>
    </cfRule>
  </conditionalFormatting>
  <conditionalFormatting sqref="A400:A402">
    <cfRule type="duplicateValues" priority="2" dxfId="12" stopIfTrue="1">
      <formula>AND(COUNTIF($A$400:$A$402,A400)&gt;1,NOT(ISBLANK(A400)))</formula>
    </cfRule>
  </conditionalFormatting>
  <conditionalFormatting sqref="A403:A405">
    <cfRule type="duplicateValues" priority="1" dxfId="12" stopIfTrue="1">
      <formula>AND(COUNTIF($A$403:$A$405,A403)&gt;1,NOT(ISBLANK(A403)))</formula>
    </cfRule>
  </conditionalFormatting>
  <printOptions horizontalCentered="1"/>
  <pageMargins left="0.7874015748031497" right="0.5905511811023623" top="0.7480314960629921" bottom="0.7480314960629921" header="0.31496062992125984" footer="0.31496062992125984"/>
  <pageSetup fitToHeight="0" fitToWidth="1" horizontalDpi="600" verticalDpi="600" orientation="portrait" paperSize="9" scale="65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991"/>
  <sheetViews>
    <sheetView zoomScale="70" zoomScaleNormal="70" zoomScaleSheetLayoutView="70" workbookViewId="0" topLeftCell="A1">
      <selection activeCell="M16" sqref="M16"/>
    </sheetView>
  </sheetViews>
  <sheetFormatPr defaultColWidth="9.00390625" defaultRowHeight="12.75"/>
  <cols>
    <col min="1" max="1" width="41.375" style="53" customWidth="1"/>
    <col min="2" max="2" width="7.375" style="31" customWidth="1"/>
    <col min="3" max="3" width="3.75390625" style="31" bestFit="1" customWidth="1"/>
    <col min="4" max="4" width="4.25390625" style="31" bestFit="1" customWidth="1"/>
    <col min="5" max="5" width="16.75390625" style="31" customWidth="1"/>
    <col min="6" max="6" width="5.875" style="31" bestFit="1" customWidth="1"/>
    <col min="7" max="7" width="15.875" style="31" customWidth="1"/>
    <col min="8" max="8" width="16.00390625" style="31" bestFit="1" customWidth="1"/>
    <col min="9" max="9" width="16.00390625" style="36" bestFit="1" customWidth="1"/>
    <col min="10" max="16384" width="9.125" style="31" customWidth="1"/>
  </cols>
  <sheetData>
    <row r="1" spans="2:9" ht="15.75">
      <c r="B1" s="209" t="s">
        <v>1000</v>
      </c>
      <c r="C1" s="209"/>
      <c r="D1" s="209"/>
      <c r="E1" s="209"/>
      <c r="F1" s="209"/>
      <c r="G1" s="209"/>
      <c r="H1" s="209"/>
      <c r="I1" s="209"/>
    </row>
    <row r="2" spans="2:9" ht="15.75">
      <c r="B2" s="214" t="s">
        <v>102</v>
      </c>
      <c r="C2" s="214"/>
      <c r="D2" s="214"/>
      <c r="E2" s="214"/>
      <c r="F2" s="214"/>
      <c r="G2" s="214"/>
      <c r="H2" s="214"/>
      <c r="I2" s="214"/>
    </row>
    <row r="3" spans="2:9" ht="15.75">
      <c r="B3" s="209" t="s">
        <v>623</v>
      </c>
      <c r="C3" s="209"/>
      <c r="D3" s="209"/>
      <c r="E3" s="209"/>
      <c r="F3" s="209"/>
      <c r="G3" s="209"/>
      <c r="H3" s="209"/>
      <c r="I3" s="209"/>
    </row>
    <row r="4" spans="2:9" ht="15.75">
      <c r="B4" s="209" t="s">
        <v>1032</v>
      </c>
      <c r="C4" s="209"/>
      <c r="D4" s="209"/>
      <c r="E4" s="209"/>
      <c r="F4" s="209"/>
      <c r="G4" s="209"/>
      <c r="H4" s="209"/>
      <c r="I4" s="209"/>
    </row>
    <row r="5" spans="1:9" ht="15.75">
      <c r="A5" s="51"/>
      <c r="B5" s="209" t="s">
        <v>997</v>
      </c>
      <c r="C5" s="209"/>
      <c r="D5" s="209"/>
      <c r="E5" s="209"/>
      <c r="F5" s="209"/>
      <c r="G5" s="209"/>
      <c r="H5" s="209"/>
      <c r="I5" s="209"/>
    </row>
    <row r="6" spans="1:9" ht="15.75">
      <c r="A6" s="51"/>
      <c r="B6" s="214" t="s">
        <v>102</v>
      </c>
      <c r="C6" s="214"/>
      <c r="D6" s="214"/>
      <c r="E6" s="214"/>
      <c r="F6" s="214"/>
      <c r="G6" s="214"/>
      <c r="H6" s="214"/>
      <c r="I6" s="214"/>
    </row>
    <row r="7" spans="1:9" ht="15.75">
      <c r="A7" s="51"/>
      <c r="B7" s="209" t="s">
        <v>623</v>
      </c>
      <c r="C7" s="209"/>
      <c r="D7" s="209"/>
      <c r="E7" s="209"/>
      <c r="F7" s="209"/>
      <c r="G7" s="209"/>
      <c r="H7" s="209"/>
      <c r="I7" s="209"/>
    </row>
    <row r="8" spans="1:9" ht="15.75">
      <c r="A8" s="51"/>
      <c r="B8" s="209" t="s">
        <v>988</v>
      </c>
      <c r="C8" s="209"/>
      <c r="D8" s="209"/>
      <c r="E8" s="209"/>
      <c r="F8" s="209"/>
      <c r="G8" s="209"/>
      <c r="H8" s="209"/>
      <c r="I8" s="209"/>
    </row>
    <row r="9" spans="1:9" ht="13.5" customHeight="1">
      <c r="A9" s="51"/>
      <c r="B9" s="16"/>
      <c r="C9" s="16"/>
      <c r="D9" s="16"/>
      <c r="E9" s="16"/>
      <c r="F9" s="16"/>
      <c r="G9" s="16"/>
      <c r="H9" s="16"/>
      <c r="I9" s="16"/>
    </row>
    <row r="10" spans="1:9" ht="79.5" customHeight="1">
      <c r="A10" s="241" t="s">
        <v>943</v>
      </c>
      <c r="B10" s="241"/>
      <c r="C10" s="241"/>
      <c r="D10" s="241"/>
      <c r="E10" s="241"/>
      <c r="F10" s="241"/>
      <c r="G10" s="241"/>
      <c r="H10" s="241"/>
      <c r="I10" s="241"/>
    </row>
    <row r="11" spans="1:9" ht="15.75">
      <c r="A11" s="52"/>
      <c r="B11" s="38"/>
      <c r="C11" s="38"/>
      <c r="D11" s="38"/>
      <c r="E11" s="38"/>
      <c r="F11" s="38"/>
      <c r="G11" s="38"/>
      <c r="H11" s="38"/>
      <c r="I11" s="39"/>
    </row>
    <row r="12" spans="1:9" ht="15.75">
      <c r="A12" s="209" t="s">
        <v>93</v>
      </c>
      <c r="B12" s="209"/>
      <c r="C12" s="209"/>
      <c r="D12" s="209"/>
      <c r="E12" s="209"/>
      <c r="F12" s="209"/>
      <c r="G12" s="209"/>
      <c r="H12" s="209"/>
      <c r="I12" s="209"/>
    </row>
    <row r="13" spans="1:9" ht="15.75" customHeight="1">
      <c r="A13" s="232" t="s">
        <v>49</v>
      </c>
      <c r="B13" s="232" t="s">
        <v>383</v>
      </c>
      <c r="C13" s="232" t="s">
        <v>381</v>
      </c>
      <c r="D13" s="232" t="s">
        <v>382</v>
      </c>
      <c r="E13" s="232" t="s">
        <v>379</v>
      </c>
      <c r="F13" s="232" t="s">
        <v>380</v>
      </c>
      <c r="G13" s="234" t="s">
        <v>5</v>
      </c>
      <c r="H13" s="235"/>
      <c r="I13" s="236"/>
    </row>
    <row r="14" spans="1:9" ht="15.75">
      <c r="A14" s="233"/>
      <c r="B14" s="233"/>
      <c r="C14" s="233"/>
      <c r="D14" s="233"/>
      <c r="E14" s="233"/>
      <c r="F14" s="233"/>
      <c r="G14" s="46" t="s">
        <v>514</v>
      </c>
      <c r="H14" s="46" t="s">
        <v>552</v>
      </c>
      <c r="I14" s="46" t="s">
        <v>664</v>
      </c>
    </row>
    <row r="15" spans="1:9" ht="15.75">
      <c r="A15" s="49">
        <v>1</v>
      </c>
      <c r="B15" s="49">
        <v>2</v>
      </c>
      <c r="C15" s="49">
        <v>3</v>
      </c>
      <c r="D15" s="49">
        <v>4</v>
      </c>
      <c r="E15" s="49">
        <v>5</v>
      </c>
      <c r="F15" s="49">
        <v>6</v>
      </c>
      <c r="G15" s="49">
        <v>7</v>
      </c>
      <c r="H15" s="49">
        <v>8</v>
      </c>
      <c r="I15" s="49">
        <v>9</v>
      </c>
    </row>
    <row r="16" spans="1:9" ht="68.25" customHeight="1">
      <c r="A16" s="50" t="s">
        <v>974</v>
      </c>
      <c r="B16" s="46" t="s">
        <v>796</v>
      </c>
      <c r="C16" s="43"/>
      <c r="D16" s="43"/>
      <c r="E16" s="43"/>
      <c r="F16" s="43"/>
      <c r="G16" s="93">
        <f>G17+G39+G160+G198</f>
        <v>242095</v>
      </c>
      <c r="H16" s="93">
        <f>H17+H39+H160+H198</f>
        <v>243994.19999999998</v>
      </c>
      <c r="I16" s="93">
        <f>I17+I39+I160+I198</f>
        <v>247262.9</v>
      </c>
    </row>
    <row r="17" spans="1:9" ht="36.75" customHeight="1">
      <c r="A17" s="40" t="s">
        <v>64</v>
      </c>
      <c r="B17" s="43" t="s">
        <v>796</v>
      </c>
      <c r="C17" s="43" t="s">
        <v>54</v>
      </c>
      <c r="D17" s="43"/>
      <c r="E17" s="43"/>
      <c r="F17" s="43"/>
      <c r="G17" s="45">
        <f>G18</f>
        <v>50</v>
      </c>
      <c r="H17" s="45">
        <f>H18</f>
        <v>50</v>
      </c>
      <c r="I17" s="45">
        <f>I18</f>
        <v>50</v>
      </c>
    </row>
    <row r="18" spans="1:9" ht="51" customHeight="1">
      <c r="A18" s="40" t="s">
        <v>66</v>
      </c>
      <c r="B18" s="43" t="s">
        <v>796</v>
      </c>
      <c r="C18" s="43" t="s">
        <v>54</v>
      </c>
      <c r="D18" s="43" t="s">
        <v>67</v>
      </c>
      <c r="E18" s="43"/>
      <c r="F18" s="43"/>
      <c r="G18" s="45">
        <f>G19+G31</f>
        <v>50</v>
      </c>
      <c r="H18" s="45">
        <f>H19+H31</f>
        <v>50</v>
      </c>
      <c r="I18" s="45">
        <f>I19+I31</f>
        <v>50</v>
      </c>
    </row>
    <row r="19" spans="1:9" ht="84" customHeight="1">
      <c r="A19" s="40" t="s">
        <v>745</v>
      </c>
      <c r="B19" s="43" t="s">
        <v>796</v>
      </c>
      <c r="C19" s="43" t="s">
        <v>54</v>
      </c>
      <c r="D19" s="43" t="s">
        <v>67</v>
      </c>
      <c r="E19" s="43" t="s">
        <v>134</v>
      </c>
      <c r="F19" s="43"/>
      <c r="G19" s="45">
        <f>G20</f>
        <v>30</v>
      </c>
      <c r="H19" s="45">
        <f>H20</f>
        <v>30</v>
      </c>
      <c r="I19" s="45">
        <f>I20</f>
        <v>30</v>
      </c>
    </row>
    <row r="20" spans="1:9" ht="31.5" customHeight="1">
      <c r="A20" s="124" t="s">
        <v>323</v>
      </c>
      <c r="B20" s="43" t="s">
        <v>796</v>
      </c>
      <c r="C20" s="43" t="s">
        <v>54</v>
      </c>
      <c r="D20" s="43" t="s">
        <v>67</v>
      </c>
      <c r="E20" s="43" t="s">
        <v>324</v>
      </c>
      <c r="F20" s="43"/>
      <c r="G20" s="45">
        <f>G24+G28+G21</f>
        <v>30</v>
      </c>
      <c r="H20" s="45">
        <f>H24+H28+H21</f>
        <v>30</v>
      </c>
      <c r="I20" s="45">
        <f>I24+I28+I21</f>
        <v>30</v>
      </c>
    </row>
    <row r="21" spans="1:9" ht="63">
      <c r="A21" s="124" t="s">
        <v>284</v>
      </c>
      <c r="B21" s="43" t="s">
        <v>796</v>
      </c>
      <c r="C21" s="43" t="s">
        <v>54</v>
      </c>
      <c r="D21" s="43" t="s">
        <v>67</v>
      </c>
      <c r="E21" s="43" t="s">
        <v>325</v>
      </c>
      <c r="F21" s="43"/>
      <c r="G21" s="45">
        <f aca="true" t="shared" si="0" ref="G21:I22">G22</f>
        <v>0</v>
      </c>
      <c r="H21" s="45">
        <f t="shared" si="0"/>
        <v>0</v>
      </c>
      <c r="I21" s="45">
        <f t="shared" si="0"/>
        <v>0</v>
      </c>
    </row>
    <row r="22" spans="1:9" ht="31.5" customHeight="1">
      <c r="A22" s="124" t="s">
        <v>114</v>
      </c>
      <c r="B22" s="43" t="s">
        <v>796</v>
      </c>
      <c r="C22" s="43" t="s">
        <v>54</v>
      </c>
      <c r="D22" s="43" t="s">
        <v>67</v>
      </c>
      <c r="E22" s="43" t="s">
        <v>485</v>
      </c>
      <c r="F22" s="43"/>
      <c r="G22" s="45">
        <f t="shared" si="0"/>
        <v>0</v>
      </c>
      <c r="H22" s="45">
        <f t="shared" si="0"/>
        <v>0</v>
      </c>
      <c r="I22" s="45">
        <f t="shared" si="0"/>
        <v>0</v>
      </c>
    </row>
    <row r="23" spans="1:9" ht="31.5" customHeight="1">
      <c r="A23" s="40" t="s">
        <v>110</v>
      </c>
      <c r="B23" s="43" t="s">
        <v>796</v>
      </c>
      <c r="C23" s="43" t="s">
        <v>54</v>
      </c>
      <c r="D23" s="43" t="s">
        <v>67</v>
      </c>
      <c r="E23" s="43" t="s">
        <v>485</v>
      </c>
      <c r="F23" s="43" t="s">
        <v>111</v>
      </c>
      <c r="G23" s="45">
        <v>0</v>
      </c>
      <c r="H23" s="45">
        <v>0</v>
      </c>
      <c r="I23" s="45">
        <v>0</v>
      </c>
    </row>
    <row r="24" spans="1:9" ht="31.5">
      <c r="A24" s="124" t="s">
        <v>798</v>
      </c>
      <c r="B24" s="43" t="s">
        <v>796</v>
      </c>
      <c r="C24" s="43" t="s">
        <v>54</v>
      </c>
      <c r="D24" s="43" t="s">
        <v>67</v>
      </c>
      <c r="E24" s="43" t="s">
        <v>326</v>
      </c>
      <c r="F24" s="43"/>
      <c r="G24" s="45">
        <f>G25</f>
        <v>24</v>
      </c>
      <c r="H24" s="45">
        <f>H25</f>
        <v>24</v>
      </c>
      <c r="I24" s="45">
        <f>I25</f>
        <v>24</v>
      </c>
    </row>
    <row r="25" spans="1:9" ht="30.75" customHeight="1">
      <c r="A25" s="124" t="s">
        <v>318</v>
      </c>
      <c r="B25" s="43" t="s">
        <v>796</v>
      </c>
      <c r="C25" s="43" t="s">
        <v>54</v>
      </c>
      <c r="D25" s="43" t="s">
        <v>67</v>
      </c>
      <c r="E25" s="43" t="s">
        <v>327</v>
      </c>
      <c r="F25" s="43"/>
      <c r="G25" s="45">
        <f>G27+G26</f>
        <v>24</v>
      </c>
      <c r="H25" s="45">
        <f>H27</f>
        <v>24</v>
      </c>
      <c r="I25" s="45">
        <f>I27</f>
        <v>24</v>
      </c>
    </row>
    <row r="26" spans="1:9" ht="30.75" customHeight="1">
      <c r="A26" s="40" t="s">
        <v>96</v>
      </c>
      <c r="B26" s="43" t="s">
        <v>796</v>
      </c>
      <c r="C26" s="43" t="s">
        <v>54</v>
      </c>
      <c r="D26" s="43" t="s">
        <v>67</v>
      </c>
      <c r="E26" s="43" t="s">
        <v>327</v>
      </c>
      <c r="F26" s="43" t="s">
        <v>97</v>
      </c>
      <c r="G26" s="45">
        <v>2</v>
      </c>
      <c r="H26" s="45"/>
      <c r="I26" s="45"/>
    </row>
    <row r="27" spans="1:9" ht="48" customHeight="1">
      <c r="A27" s="40" t="s">
        <v>20</v>
      </c>
      <c r="B27" s="43" t="s">
        <v>796</v>
      </c>
      <c r="C27" s="43" t="s">
        <v>54</v>
      </c>
      <c r="D27" s="43" t="s">
        <v>67</v>
      </c>
      <c r="E27" s="43" t="s">
        <v>327</v>
      </c>
      <c r="F27" s="43" t="s">
        <v>100</v>
      </c>
      <c r="G27" s="45">
        <v>22</v>
      </c>
      <c r="H27" s="45">
        <v>24</v>
      </c>
      <c r="I27" s="45">
        <v>24</v>
      </c>
    </row>
    <row r="28" spans="1:9" ht="30" customHeight="1">
      <c r="A28" s="124" t="s">
        <v>329</v>
      </c>
      <c r="B28" s="43" t="s">
        <v>796</v>
      </c>
      <c r="C28" s="43" t="s">
        <v>54</v>
      </c>
      <c r="D28" s="43" t="s">
        <v>67</v>
      </c>
      <c r="E28" s="43" t="s">
        <v>328</v>
      </c>
      <c r="F28" s="43"/>
      <c r="G28" s="45">
        <f aca="true" t="shared" si="1" ref="G28:I29">G29</f>
        <v>6</v>
      </c>
      <c r="H28" s="45">
        <f t="shared" si="1"/>
        <v>6</v>
      </c>
      <c r="I28" s="45">
        <f t="shared" si="1"/>
        <v>6</v>
      </c>
    </row>
    <row r="29" spans="1:9" ht="34.5" customHeight="1">
      <c r="A29" s="124" t="s">
        <v>114</v>
      </c>
      <c r="B29" s="43" t="s">
        <v>796</v>
      </c>
      <c r="C29" s="43" t="s">
        <v>54</v>
      </c>
      <c r="D29" s="43" t="s">
        <v>67</v>
      </c>
      <c r="E29" s="43" t="s">
        <v>384</v>
      </c>
      <c r="F29" s="43"/>
      <c r="G29" s="45">
        <f t="shared" si="1"/>
        <v>6</v>
      </c>
      <c r="H29" s="45">
        <f t="shared" si="1"/>
        <v>6</v>
      </c>
      <c r="I29" s="45">
        <f t="shared" si="1"/>
        <v>6</v>
      </c>
    </row>
    <row r="30" spans="1:9" ht="15.75">
      <c r="A30" s="40" t="s">
        <v>110</v>
      </c>
      <c r="B30" s="43" t="s">
        <v>796</v>
      </c>
      <c r="C30" s="43" t="s">
        <v>54</v>
      </c>
      <c r="D30" s="43" t="s">
        <v>67</v>
      </c>
      <c r="E30" s="43" t="s">
        <v>384</v>
      </c>
      <c r="F30" s="43" t="s">
        <v>111</v>
      </c>
      <c r="G30" s="45">
        <v>6</v>
      </c>
      <c r="H30" s="45">
        <v>6</v>
      </c>
      <c r="I30" s="45">
        <v>6</v>
      </c>
    </row>
    <row r="31" spans="1:9" ht="94.5">
      <c r="A31" s="125" t="s">
        <v>751</v>
      </c>
      <c r="B31" s="43" t="s">
        <v>796</v>
      </c>
      <c r="C31" s="163" t="s">
        <v>54</v>
      </c>
      <c r="D31" s="163" t="s">
        <v>67</v>
      </c>
      <c r="E31" s="163" t="s">
        <v>375</v>
      </c>
      <c r="F31" s="163"/>
      <c r="G31" s="173">
        <f>G32</f>
        <v>20</v>
      </c>
      <c r="H31" s="173">
        <f>H32</f>
        <v>20</v>
      </c>
      <c r="I31" s="173">
        <f>I32</f>
        <v>20</v>
      </c>
    </row>
    <row r="32" spans="1:9" ht="63">
      <c r="A32" s="125" t="s">
        <v>755</v>
      </c>
      <c r="B32" s="43" t="s">
        <v>796</v>
      </c>
      <c r="C32" s="42" t="s">
        <v>54</v>
      </c>
      <c r="D32" s="42" t="s">
        <v>67</v>
      </c>
      <c r="E32" s="42" t="s">
        <v>261</v>
      </c>
      <c r="F32" s="42"/>
      <c r="G32" s="161">
        <f>G33+G36</f>
        <v>20</v>
      </c>
      <c r="H32" s="161">
        <f>H33+H36</f>
        <v>20</v>
      </c>
      <c r="I32" s="161">
        <f>I33+I36</f>
        <v>20</v>
      </c>
    </row>
    <row r="33" spans="1:9" ht="110.25">
      <c r="A33" s="125" t="s">
        <v>756</v>
      </c>
      <c r="B33" s="43" t="s">
        <v>796</v>
      </c>
      <c r="C33" s="42" t="s">
        <v>54</v>
      </c>
      <c r="D33" s="42" t="s">
        <v>67</v>
      </c>
      <c r="E33" s="42" t="s">
        <v>262</v>
      </c>
      <c r="F33" s="42"/>
      <c r="G33" s="161">
        <f aca="true" t="shared" si="2" ref="G33:I34">G34</f>
        <v>17</v>
      </c>
      <c r="H33" s="161">
        <f t="shared" si="2"/>
        <v>17</v>
      </c>
      <c r="I33" s="161">
        <f t="shared" si="2"/>
        <v>17</v>
      </c>
    </row>
    <row r="34" spans="1:9" ht="47.25">
      <c r="A34" s="125" t="s">
        <v>259</v>
      </c>
      <c r="B34" s="43" t="s">
        <v>796</v>
      </c>
      <c r="C34" s="42" t="s">
        <v>54</v>
      </c>
      <c r="D34" s="42" t="s">
        <v>67</v>
      </c>
      <c r="E34" s="42" t="s">
        <v>263</v>
      </c>
      <c r="F34" s="42"/>
      <c r="G34" s="161">
        <f t="shared" si="2"/>
        <v>17</v>
      </c>
      <c r="H34" s="161">
        <f t="shared" si="2"/>
        <v>17</v>
      </c>
      <c r="I34" s="161">
        <f t="shared" si="2"/>
        <v>17</v>
      </c>
    </row>
    <row r="35" spans="1:9" ht="47.25">
      <c r="A35" s="125" t="s">
        <v>20</v>
      </c>
      <c r="B35" s="43" t="s">
        <v>796</v>
      </c>
      <c r="C35" s="42" t="s">
        <v>54</v>
      </c>
      <c r="D35" s="42" t="s">
        <v>67</v>
      </c>
      <c r="E35" s="42" t="s">
        <v>263</v>
      </c>
      <c r="F35" s="42" t="s">
        <v>100</v>
      </c>
      <c r="G35" s="161">
        <v>17</v>
      </c>
      <c r="H35" s="161">
        <v>17</v>
      </c>
      <c r="I35" s="161">
        <v>17</v>
      </c>
    </row>
    <row r="36" spans="1:9" ht="94.5">
      <c r="A36" s="125" t="s">
        <v>758</v>
      </c>
      <c r="B36" s="43" t="s">
        <v>796</v>
      </c>
      <c r="C36" s="42" t="s">
        <v>54</v>
      </c>
      <c r="D36" s="42" t="s">
        <v>67</v>
      </c>
      <c r="E36" s="42" t="s">
        <v>264</v>
      </c>
      <c r="F36" s="42"/>
      <c r="G36" s="161">
        <f aca="true" t="shared" si="3" ref="G36:I37">G37</f>
        <v>3</v>
      </c>
      <c r="H36" s="161">
        <f t="shared" si="3"/>
        <v>3</v>
      </c>
      <c r="I36" s="161">
        <f t="shared" si="3"/>
        <v>3</v>
      </c>
    </row>
    <row r="37" spans="1:9" ht="47.25">
      <c r="A37" s="125" t="s">
        <v>259</v>
      </c>
      <c r="B37" s="43" t="s">
        <v>796</v>
      </c>
      <c r="C37" s="42" t="s">
        <v>54</v>
      </c>
      <c r="D37" s="42" t="s">
        <v>67</v>
      </c>
      <c r="E37" s="42" t="s">
        <v>265</v>
      </c>
      <c r="F37" s="42"/>
      <c r="G37" s="161">
        <f t="shared" si="3"/>
        <v>3</v>
      </c>
      <c r="H37" s="161">
        <f t="shared" si="3"/>
        <v>3</v>
      </c>
      <c r="I37" s="161">
        <f t="shared" si="3"/>
        <v>3</v>
      </c>
    </row>
    <row r="38" spans="1:9" ht="47.25">
      <c r="A38" s="125" t="s">
        <v>20</v>
      </c>
      <c r="B38" s="43" t="s">
        <v>796</v>
      </c>
      <c r="C38" s="42" t="s">
        <v>54</v>
      </c>
      <c r="D38" s="42" t="s">
        <v>67</v>
      </c>
      <c r="E38" s="42" t="s">
        <v>265</v>
      </c>
      <c r="F38" s="42" t="s">
        <v>100</v>
      </c>
      <c r="G38" s="161">
        <v>3</v>
      </c>
      <c r="H38" s="161">
        <v>3</v>
      </c>
      <c r="I38" s="161">
        <v>3</v>
      </c>
    </row>
    <row r="39" spans="1:9" ht="15.75">
      <c r="A39" s="40" t="s">
        <v>76</v>
      </c>
      <c r="B39" s="43" t="s">
        <v>796</v>
      </c>
      <c r="C39" s="43" t="s">
        <v>59</v>
      </c>
      <c r="D39" s="43"/>
      <c r="E39" s="43"/>
      <c r="F39" s="43"/>
      <c r="G39" s="45">
        <f>G40+G52+G87+G108+G102</f>
        <v>238624.7</v>
      </c>
      <c r="H39" s="45">
        <f>H40+H52+H87+H108+H102</f>
        <v>241299.49999999997</v>
      </c>
      <c r="I39" s="45">
        <f>I40+I52+I87+I108+I102</f>
        <v>244568.19999999998</v>
      </c>
    </row>
    <row r="40" spans="1:9" ht="15.75">
      <c r="A40" s="40" t="s">
        <v>77</v>
      </c>
      <c r="B40" s="43" t="s">
        <v>796</v>
      </c>
      <c r="C40" s="43" t="s">
        <v>59</v>
      </c>
      <c r="D40" s="43" t="s">
        <v>51</v>
      </c>
      <c r="E40" s="43"/>
      <c r="F40" s="43"/>
      <c r="G40" s="45">
        <f>G41</f>
        <v>52264</v>
      </c>
      <c r="H40" s="45">
        <f>H41</f>
        <v>54373.399999999994</v>
      </c>
      <c r="I40" s="45">
        <f>I41</f>
        <v>56355.8</v>
      </c>
    </row>
    <row r="41" spans="1:9" ht="63">
      <c r="A41" s="40" t="s">
        <v>932</v>
      </c>
      <c r="B41" s="43" t="s">
        <v>796</v>
      </c>
      <c r="C41" s="43" t="s">
        <v>59</v>
      </c>
      <c r="D41" s="43" t="s">
        <v>51</v>
      </c>
      <c r="E41" s="43" t="s">
        <v>369</v>
      </c>
      <c r="F41" s="43"/>
      <c r="G41" s="45">
        <f aca="true" t="shared" si="4" ref="G41:I42">G42</f>
        <v>52264</v>
      </c>
      <c r="H41" s="45">
        <f t="shared" si="4"/>
        <v>54373.399999999994</v>
      </c>
      <c r="I41" s="45">
        <f t="shared" si="4"/>
        <v>56355.8</v>
      </c>
    </row>
    <row r="42" spans="1:9" ht="96.75" customHeight="1">
      <c r="A42" s="40" t="s">
        <v>108</v>
      </c>
      <c r="B42" s="43" t="s">
        <v>796</v>
      </c>
      <c r="C42" s="43" t="s">
        <v>59</v>
      </c>
      <c r="D42" s="43" t="s">
        <v>51</v>
      </c>
      <c r="E42" s="43" t="s">
        <v>151</v>
      </c>
      <c r="F42" s="43"/>
      <c r="G42" s="45">
        <f t="shared" si="4"/>
        <v>52264</v>
      </c>
      <c r="H42" s="45">
        <f t="shared" si="4"/>
        <v>54373.399999999994</v>
      </c>
      <c r="I42" s="45">
        <f t="shared" si="4"/>
        <v>56355.8</v>
      </c>
    </row>
    <row r="43" spans="1:9" ht="64.5" customHeight="1">
      <c r="A43" s="40" t="s">
        <v>152</v>
      </c>
      <c r="B43" s="43" t="s">
        <v>796</v>
      </c>
      <c r="C43" s="43" t="s">
        <v>59</v>
      </c>
      <c r="D43" s="43" t="s">
        <v>51</v>
      </c>
      <c r="E43" s="43" t="s">
        <v>153</v>
      </c>
      <c r="F43" s="43"/>
      <c r="G43" s="45">
        <f>G44+G50+G46+G48</f>
        <v>52264</v>
      </c>
      <c r="H43" s="45">
        <f>H44+H50+H46+H48</f>
        <v>54373.399999999994</v>
      </c>
      <c r="I43" s="45">
        <f>I44+I50+I46+I48</f>
        <v>56355.8</v>
      </c>
    </row>
    <row r="44" spans="1:9" ht="15.75">
      <c r="A44" s="40" t="s">
        <v>109</v>
      </c>
      <c r="B44" s="43" t="s">
        <v>796</v>
      </c>
      <c r="C44" s="43" t="s">
        <v>59</v>
      </c>
      <c r="D44" s="43" t="s">
        <v>51</v>
      </c>
      <c r="E44" s="43" t="s">
        <v>154</v>
      </c>
      <c r="F44" s="43"/>
      <c r="G44" s="45">
        <f>G45</f>
        <v>8689.3</v>
      </c>
      <c r="H44" s="45">
        <f>H45</f>
        <v>8647.6</v>
      </c>
      <c r="I44" s="45">
        <f>I45</f>
        <v>8409.9</v>
      </c>
    </row>
    <row r="45" spans="1:9" ht="19.5" customHeight="1">
      <c r="A45" s="40" t="s">
        <v>110</v>
      </c>
      <c r="B45" s="43" t="s">
        <v>796</v>
      </c>
      <c r="C45" s="43" t="s">
        <v>59</v>
      </c>
      <c r="D45" s="43" t="s">
        <v>51</v>
      </c>
      <c r="E45" s="43" t="s">
        <v>154</v>
      </c>
      <c r="F45" s="43" t="s">
        <v>111</v>
      </c>
      <c r="G45" s="45">
        <v>8689.3</v>
      </c>
      <c r="H45" s="45">
        <v>8647.6</v>
      </c>
      <c r="I45" s="45">
        <v>8409.9</v>
      </c>
    </row>
    <row r="46" spans="1:9" ht="31.5" customHeight="1">
      <c r="A46" s="40" t="s">
        <v>114</v>
      </c>
      <c r="B46" s="43" t="s">
        <v>796</v>
      </c>
      <c r="C46" s="43" t="s">
        <v>59</v>
      </c>
      <c r="D46" s="43" t="s">
        <v>51</v>
      </c>
      <c r="E46" s="43" t="s">
        <v>292</v>
      </c>
      <c r="F46" s="43"/>
      <c r="G46" s="45">
        <f>G47</f>
        <v>682.7</v>
      </c>
      <c r="H46" s="45">
        <f>H47</f>
        <v>629.7</v>
      </c>
      <c r="I46" s="45">
        <f>I47</f>
        <v>575</v>
      </c>
    </row>
    <row r="47" spans="1:9" ht="19.5" customHeight="1">
      <c r="A47" s="40" t="s">
        <v>110</v>
      </c>
      <c r="B47" s="43" t="s">
        <v>796</v>
      </c>
      <c r="C47" s="43" t="s">
        <v>59</v>
      </c>
      <c r="D47" s="43" t="s">
        <v>51</v>
      </c>
      <c r="E47" s="43" t="s">
        <v>292</v>
      </c>
      <c r="F47" s="43" t="s">
        <v>111</v>
      </c>
      <c r="G47" s="45">
        <v>682.7</v>
      </c>
      <c r="H47" s="45">
        <v>629.7</v>
      </c>
      <c r="I47" s="45">
        <v>575</v>
      </c>
    </row>
    <row r="48" spans="1:9" ht="63">
      <c r="A48" s="40" t="s">
        <v>462</v>
      </c>
      <c r="B48" s="43" t="s">
        <v>796</v>
      </c>
      <c r="C48" s="43" t="s">
        <v>59</v>
      </c>
      <c r="D48" s="43" t="s">
        <v>51</v>
      </c>
      <c r="E48" s="43" t="s">
        <v>473</v>
      </c>
      <c r="F48" s="43"/>
      <c r="G48" s="45">
        <f>G49</f>
        <v>5488.5</v>
      </c>
      <c r="H48" s="45">
        <f>H49</f>
        <v>5771.7</v>
      </c>
      <c r="I48" s="45">
        <f>I49</f>
        <v>6064.1</v>
      </c>
    </row>
    <row r="49" spans="1:9" ht="19.5" customHeight="1">
      <c r="A49" s="40" t="s">
        <v>110</v>
      </c>
      <c r="B49" s="43" t="s">
        <v>796</v>
      </c>
      <c r="C49" s="43" t="s">
        <v>59</v>
      </c>
      <c r="D49" s="43" t="s">
        <v>51</v>
      </c>
      <c r="E49" s="43" t="s">
        <v>473</v>
      </c>
      <c r="F49" s="43" t="s">
        <v>111</v>
      </c>
      <c r="G49" s="45">
        <v>5488.5</v>
      </c>
      <c r="H49" s="45">
        <v>5771.7</v>
      </c>
      <c r="I49" s="45">
        <v>6064.1</v>
      </c>
    </row>
    <row r="50" spans="1:9" ht="71.25" customHeight="1">
      <c r="A50" s="40" t="s">
        <v>161</v>
      </c>
      <c r="B50" s="43" t="s">
        <v>796</v>
      </c>
      <c r="C50" s="43" t="s">
        <v>59</v>
      </c>
      <c r="D50" s="43" t="s">
        <v>51</v>
      </c>
      <c r="E50" s="43" t="s">
        <v>160</v>
      </c>
      <c r="F50" s="43"/>
      <c r="G50" s="45">
        <f>G51</f>
        <v>37403.5</v>
      </c>
      <c r="H50" s="45">
        <f>H51</f>
        <v>39324.4</v>
      </c>
      <c r="I50" s="45">
        <f>I51</f>
        <v>41306.8</v>
      </c>
    </row>
    <row r="51" spans="1:9" ht="19.5" customHeight="1">
      <c r="A51" s="40" t="s">
        <v>110</v>
      </c>
      <c r="B51" s="43" t="s">
        <v>796</v>
      </c>
      <c r="C51" s="43" t="s">
        <v>59</v>
      </c>
      <c r="D51" s="43" t="s">
        <v>51</v>
      </c>
      <c r="E51" s="43" t="s">
        <v>160</v>
      </c>
      <c r="F51" s="43" t="s">
        <v>111</v>
      </c>
      <c r="G51" s="45">
        <v>37403.5</v>
      </c>
      <c r="H51" s="45">
        <v>39324.4</v>
      </c>
      <c r="I51" s="45">
        <v>41306.8</v>
      </c>
    </row>
    <row r="52" spans="1:9" ht="18.75" customHeight="1">
      <c r="A52" s="40" t="s">
        <v>78</v>
      </c>
      <c r="B52" s="43" t="s">
        <v>796</v>
      </c>
      <c r="C52" s="43" t="s">
        <v>59</v>
      </c>
      <c r="D52" s="43" t="s">
        <v>52</v>
      </c>
      <c r="E52" s="43"/>
      <c r="F52" s="43"/>
      <c r="G52" s="45">
        <f>G53+G83</f>
        <v>139579.5</v>
      </c>
      <c r="H52" s="45">
        <f>H53+H83</f>
        <v>147470.19999999998</v>
      </c>
      <c r="I52" s="45">
        <f>I53+I83</f>
        <v>148756.5</v>
      </c>
    </row>
    <row r="53" spans="1:9" ht="65.25" customHeight="1">
      <c r="A53" s="40" t="s">
        <v>932</v>
      </c>
      <c r="B53" s="43" t="s">
        <v>796</v>
      </c>
      <c r="C53" s="43" t="s">
        <v>59</v>
      </c>
      <c r="D53" s="43" t="s">
        <v>52</v>
      </c>
      <c r="E53" s="43" t="s">
        <v>369</v>
      </c>
      <c r="F53" s="43"/>
      <c r="G53" s="45">
        <f>G54</f>
        <v>139256.6</v>
      </c>
      <c r="H53" s="45">
        <f>H54</f>
        <v>147147.3</v>
      </c>
      <c r="I53" s="45">
        <f>I54</f>
        <v>148433.6</v>
      </c>
    </row>
    <row r="54" spans="1:9" ht="37.5" customHeight="1">
      <c r="A54" s="40" t="s">
        <v>112</v>
      </c>
      <c r="B54" s="43" t="s">
        <v>796</v>
      </c>
      <c r="C54" s="43" t="s">
        <v>59</v>
      </c>
      <c r="D54" s="43" t="s">
        <v>52</v>
      </c>
      <c r="E54" s="43" t="s">
        <v>156</v>
      </c>
      <c r="F54" s="43"/>
      <c r="G54" s="45">
        <f>G58+G67+G74+G55+G77+G80</f>
        <v>139256.6</v>
      </c>
      <c r="H54" s="45">
        <f>H58+H67+H74+H55+H77+H80</f>
        <v>147147.3</v>
      </c>
      <c r="I54" s="45">
        <f>I58+I67+I74+I55+I77+I80</f>
        <v>148433.6</v>
      </c>
    </row>
    <row r="55" spans="1:9" ht="63" hidden="1">
      <c r="A55" s="40" t="s">
        <v>701</v>
      </c>
      <c r="B55" s="43" t="s">
        <v>796</v>
      </c>
      <c r="C55" s="43" t="s">
        <v>59</v>
      </c>
      <c r="D55" s="43" t="s">
        <v>52</v>
      </c>
      <c r="E55" s="43" t="s">
        <v>286</v>
      </c>
      <c r="F55" s="43"/>
      <c r="G55" s="45">
        <f aca="true" t="shared" si="5" ref="G55:I56">G56</f>
        <v>0</v>
      </c>
      <c r="H55" s="45">
        <f t="shared" si="5"/>
        <v>0</v>
      </c>
      <c r="I55" s="45">
        <f t="shared" si="5"/>
        <v>0</v>
      </c>
    </row>
    <row r="56" spans="1:9" ht="47.25" customHeight="1" hidden="1">
      <c r="A56" s="40" t="s">
        <v>502</v>
      </c>
      <c r="B56" s="43" t="s">
        <v>796</v>
      </c>
      <c r="C56" s="43" t="s">
        <v>59</v>
      </c>
      <c r="D56" s="43" t="s">
        <v>52</v>
      </c>
      <c r="E56" s="43" t="s">
        <v>474</v>
      </c>
      <c r="F56" s="43"/>
      <c r="G56" s="45">
        <f t="shared" si="5"/>
        <v>0</v>
      </c>
      <c r="H56" s="45">
        <f t="shared" si="5"/>
        <v>0</v>
      </c>
      <c r="I56" s="45">
        <f t="shared" si="5"/>
        <v>0</v>
      </c>
    </row>
    <row r="57" spans="1:9" ht="15.75" customHeight="1" hidden="1">
      <c r="A57" s="40" t="s">
        <v>110</v>
      </c>
      <c r="B57" s="43" t="s">
        <v>796</v>
      </c>
      <c r="C57" s="43" t="s">
        <v>59</v>
      </c>
      <c r="D57" s="43" t="s">
        <v>52</v>
      </c>
      <c r="E57" s="43" t="s">
        <v>474</v>
      </c>
      <c r="F57" s="43" t="s">
        <v>111</v>
      </c>
      <c r="G57" s="45">
        <v>0</v>
      </c>
      <c r="H57" s="45">
        <v>0</v>
      </c>
      <c r="I57" s="45">
        <v>0</v>
      </c>
    </row>
    <row r="58" spans="1:9" ht="83.25" customHeight="1">
      <c r="A58" s="40" t="s">
        <v>702</v>
      </c>
      <c r="B58" s="43" t="s">
        <v>796</v>
      </c>
      <c r="C58" s="43" t="s">
        <v>59</v>
      </c>
      <c r="D58" s="43" t="s">
        <v>52</v>
      </c>
      <c r="E58" s="43" t="s">
        <v>155</v>
      </c>
      <c r="F58" s="43"/>
      <c r="G58" s="45">
        <f>G59+G65+G63+G61</f>
        <v>128733.90000000001</v>
      </c>
      <c r="H58" s="45">
        <f>H59+H65+H63+H61</f>
        <v>132577.4</v>
      </c>
      <c r="I58" s="45">
        <f>I59+I65+I63+I61</f>
        <v>137551.2</v>
      </c>
    </row>
    <row r="59" spans="1:9" ht="32.25" customHeight="1">
      <c r="A59" s="40" t="s">
        <v>114</v>
      </c>
      <c r="B59" s="43" t="s">
        <v>796</v>
      </c>
      <c r="C59" s="43" t="s">
        <v>59</v>
      </c>
      <c r="D59" s="43" t="s">
        <v>52</v>
      </c>
      <c r="E59" s="43" t="s">
        <v>158</v>
      </c>
      <c r="F59" s="43"/>
      <c r="G59" s="45">
        <f>G60</f>
        <v>36131.299999999996</v>
      </c>
      <c r="H59" s="45">
        <f>H60</f>
        <v>34840.799999999996</v>
      </c>
      <c r="I59" s="45">
        <f>I60</f>
        <v>34614.4</v>
      </c>
    </row>
    <row r="60" spans="1:9" ht="21.75" customHeight="1">
      <c r="A60" s="40" t="s">
        <v>110</v>
      </c>
      <c r="B60" s="43" t="s">
        <v>796</v>
      </c>
      <c r="C60" s="43" t="s">
        <v>59</v>
      </c>
      <c r="D60" s="43" t="s">
        <v>52</v>
      </c>
      <c r="E60" s="43" t="s">
        <v>158</v>
      </c>
      <c r="F60" s="43" t="s">
        <v>111</v>
      </c>
      <c r="G60" s="45">
        <v>36131.299999999996</v>
      </c>
      <c r="H60" s="45">
        <f>34846.7-5.9</f>
        <v>34840.799999999996</v>
      </c>
      <c r="I60" s="45">
        <f>34620.3-5.9</f>
        <v>34614.4</v>
      </c>
    </row>
    <row r="61" spans="1:9" ht="236.25" customHeight="1">
      <c r="A61" s="40" t="s">
        <v>498</v>
      </c>
      <c r="B61" s="43" t="s">
        <v>796</v>
      </c>
      <c r="C61" s="43" t="s">
        <v>59</v>
      </c>
      <c r="D61" s="43" t="s">
        <v>52</v>
      </c>
      <c r="E61" s="43" t="s">
        <v>499</v>
      </c>
      <c r="F61" s="43"/>
      <c r="G61" s="45">
        <f>G62</f>
        <v>6378.5</v>
      </c>
      <c r="H61" s="45">
        <f>H62</f>
        <v>6378.5</v>
      </c>
      <c r="I61" s="45">
        <f>I62</f>
        <v>6378.5</v>
      </c>
    </row>
    <row r="62" spans="1:9" ht="21.75" customHeight="1">
      <c r="A62" s="40" t="s">
        <v>110</v>
      </c>
      <c r="B62" s="43" t="s">
        <v>796</v>
      </c>
      <c r="C62" s="43" t="s">
        <v>59</v>
      </c>
      <c r="D62" s="43" t="s">
        <v>52</v>
      </c>
      <c r="E62" s="43" t="s">
        <v>499</v>
      </c>
      <c r="F62" s="43" t="s">
        <v>111</v>
      </c>
      <c r="G62" s="45">
        <v>6378.5</v>
      </c>
      <c r="H62" s="45">
        <v>6378.5</v>
      </c>
      <c r="I62" s="45">
        <v>6378.5</v>
      </c>
    </row>
    <row r="63" spans="1:9" ht="72.75" customHeight="1">
      <c r="A63" s="40" t="s">
        <v>462</v>
      </c>
      <c r="B63" s="43" t="s">
        <v>796</v>
      </c>
      <c r="C63" s="43" t="s">
        <v>59</v>
      </c>
      <c r="D63" s="43" t="s">
        <v>52</v>
      </c>
      <c r="E63" s="43" t="s">
        <v>475</v>
      </c>
      <c r="F63" s="43"/>
      <c r="G63" s="45">
        <f>G64</f>
        <v>7179.8</v>
      </c>
      <c r="H63" s="45">
        <f>H64</f>
        <v>7552.6</v>
      </c>
      <c r="I63" s="45">
        <f>I64</f>
        <v>7935.2</v>
      </c>
    </row>
    <row r="64" spans="1:9" ht="21.75" customHeight="1">
      <c r="A64" s="40" t="s">
        <v>110</v>
      </c>
      <c r="B64" s="43" t="s">
        <v>796</v>
      </c>
      <c r="C64" s="43" t="s">
        <v>59</v>
      </c>
      <c r="D64" s="43" t="s">
        <v>52</v>
      </c>
      <c r="E64" s="43" t="s">
        <v>475</v>
      </c>
      <c r="F64" s="43" t="s">
        <v>111</v>
      </c>
      <c r="G64" s="45">
        <v>7179.8</v>
      </c>
      <c r="H64" s="45">
        <v>7552.6</v>
      </c>
      <c r="I64" s="45">
        <v>7935.2</v>
      </c>
    </row>
    <row r="65" spans="1:9" ht="69.75" customHeight="1">
      <c r="A65" s="40" t="s">
        <v>161</v>
      </c>
      <c r="B65" s="43" t="s">
        <v>796</v>
      </c>
      <c r="C65" s="43" t="s">
        <v>59</v>
      </c>
      <c r="D65" s="43" t="s">
        <v>52</v>
      </c>
      <c r="E65" s="43" t="s">
        <v>159</v>
      </c>
      <c r="F65" s="43"/>
      <c r="G65" s="45">
        <f>G66</f>
        <v>79044.3</v>
      </c>
      <c r="H65" s="45">
        <f>H66</f>
        <v>83805.5</v>
      </c>
      <c r="I65" s="45">
        <f>I66</f>
        <v>88623.1</v>
      </c>
    </row>
    <row r="66" spans="1:9" ht="15.75">
      <c r="A66" s="40" t="s">
        <v>110</v>
      </c>
      <c r="B66" s="43" t="s">
        <v>796</v>
      </c>
      <c r="C66" s="43" t="s">
        <v>59</v>
      </c>
      <c r="D66" s="43" t="s">
        <v>52</v>
      </c>
      <c r="E66" s="43" t="s">
        <v>159</v>
      </c>
      <c r="F66" s="43" t="s">
        <v>111</v>
      </c>
      <c r="G66" s="45">
        <f>66022.7+10665.1+812.5+1544</f>
        <v>79044.3</v>
      </c>
      <c r="H66" s="45">
        <f>70820.3+10628.7+812.5+1544</f>
        <v>83805.5</v>
      </c>
      <c r="I66" s="45">
        <f>75630.3+10636.3+812.5+1544</f>
        <v>88623.1</v>
      </c>
    </row>
    <row r="67" spans="1:9" ht="81.75" customHeight="1">
      <c r="A67" s="40" t="s">
        <v>162</v>
      </c>
      <c r="B67" s="43" t="s">
        <v>796</v>
      </c>
      <c r="C67" s="43" t="s">
        <v>59</v>
      </c>
      <c r="D67" s="43" t="s">
        <v>52</v>
      </c>
      <c r="E67" s="43" t="s">
        <v>164</v>
      </c>
      <c r="F67" s="43"/>
      <c r="G67" s="45">
        <f>G68+G70+G72</f>
        <v>10071.300000000001</v>
      </c>
      <c r="H67" s="45">
        <f>H68+H70+H72</f>
        <v>10485.300000000001</v>
      </c>
      <c r="I67" s="45">
        <f>I68+I70+I72</f>
        <v>10431</v>
      </c>
    </row>
    <row r="68" spans="1:9" ht="132" customHeight="1">
      <c r="A68" s="40" t="s">
        <v>289</v>
      </c>
      <c r="B68" s="43" t="s">
        <v>796</v>
      </c>
      <c r="C68" s="43" t="s">
        <v>59</v>
      </c>
      <c r="D68" s="43" t="s">
        <v>52</v>
      </c>
      <c r="E68" s="43" t="s">
        <v>163</v>
      </c>
      <c r="F68" s="43"/>
      <c r="G68" s="45">
        <f>G69</f>
        <v>2733.1</v>
      </c>
      <c r="H68" s="45">
        <f>H69</f>
        <v>3147.1</v>
      </c>
      <c r="I68" s="45">
        <f>I69</f>
        <v>3147.1</v>
      </c>
    </row>
    <row r="69" spans="1:9" ht="18" customHeight="1">
      <c r="A69" s="40" t="s">
        <v>110</v>
      </c>
      <c r="B69" s="43" t="s">
        <v>796</v>
      </c>
      <c r="C69" s="43" t="s">
        <v>59</v>
      </c>
      <c r="D69" s="43" t="s">
        <v>52</v>
      </c>
      <c r="E69" s="43" t="s">
        <v>163</v>
      </c>
      <c r="F69" s="43" t="s">
        <v>111</v>
      </c>
      <c r="G69" s="45">
        <v>2733.1</v>
      </c>
      <c r="H69" s="45">
        <v>3147.1</v>
      </c>
      <c r="I69" s="45">
        <v>3147.1</v>
      </c>
    </row>
    <row r="70" spans="1:9" ht="78.75">
      <c r="A70" s="40" t="s">
        <v>494</v>
      </c>
      <c r="B70" s="43" t="s">
        <v>796</v>
      </c>
      <c r="C70" s="43" t="s">
        <v>59</v>
      </c>
      <c r="D70" s="43" t="s">
        <v>52</v>
      </c>
      <c r="E70" s="43" t="s">
        <v>497</v>
      </c>
      <c r="F70" s="43"/>
      <c r="G70" s="45">
        <f>G71</f>
        <v>5424</v>
      </c>
      <c r="H70" s="45">
        <f>H71</f>
        <v>5424</v>
      </c>
      <c r="I70" s="45">
        <f>I71</f>
        <v>5369.7</v>
      </c>
    </row>
    <row r="71" spans="1:9" ht="18" customHeight="1">
      <c r="A71" s="40" t="s">
        <v>110</v>
      </c>
      <c r="B71" s="43" t="s">
        <v>796</v>
      </c>
      <c r="C71" s="43" t="s">
        <v>59</v>
      </c>
      <c r="D71" s="43" t="s">
        <v>52</v>
      </c>
      <c r="E71" s="43" t="s">
        <v>497</v>
      </c>
      <c r="F71" s="43" t="s">
        <v>111</v>
      </c>
      <c r="G71" s="45">
        <f>4092.9+1222.6+108.5</f>
        <v>5424</v>
      </c>
      <c r="H71" s="45">
        <f>4092.9+1222.6+108.5</f>
        <v>5424</v>
      </c>
      <c r="I71" s="45">
        <f>5262.3+107.4</f>
        <v>5369.7</v>
      </c>
    </row>
    <row r="72" spans="1:9" ht="123" customHeight="1">
      <c r="A72" s="40" t="s">
        <v>617</v>
      </c>
      <c r="B72" s="43" t="s">
        <v>796</v>
      </c>
      <c r="C72" s="43" t="s">
        <v>59</v>
      </c>
      <c r="D72" s="43" t="s">
        <v>52</v>
      </c>
      <c r="E72" s="43" t="s">
        <v>618</v>
      </c>
      <c r="F72" s="43"/>
      <c r="G72" s="45">
        <f>G73</f>
        <v>1914.2</v>
      </c>
      <c r="H72" s="45">
        <f>H73</f>
        <v>1914.2</v>
      </c>
      <c r="I72" s="45">
        <f>I73</f>
        <v>1914.2</v>
      </c>
    </row>
    <row r="73" spans="1:9" ht="18" customHeight="1">
      <c r="A73" s="40" t="s">
        <v>110</v>
      </c>
      <c r="B73" s="43" t="s">
        <v>796</v>
      </c>
      <c r="C73" s="43" t="s">
        <v>59</v>
      </c>
      <c r="D73" s="43" t="s">
        <v>52</v>
      </c>
      <c r="E73" s="43" t="s">
        <v>618</v>
      </c>
      <c r="F73" s="43" t="s">
        <v>111</v>
      </c>
      <c r="G73" s="45">
        <f>1531.4+382.8</f>
        <v>1914.2</v>
      </c>
      <c r="H73" s="45">
        <f>1531.4+382.8</f>
        <v>1914.2</v>
      </c>
      <c r="I73" s="45">
        <f>1531.4+382.8</f>
        <v>1914.2</v>
      </c>
    </row>
    <row r="74" spans="1:9" ht="66" customHeight="1" hidden="1">
      <c r="A74" s="40" t="s">
        <v>165</v>
      </c>
      <c r="B74" s="43" t="s">
        <v>796</v>
      </c>
      <c r="C74" s="43" t="s">
        <v>59</v>
      </c>
      <c r="D74" s="43" t="s">
        <v>52</v>
      </c>
      <c r="E74" s="43" t="s">
        <v>166</v>
      </c>
      <c r="F74" s="43"/>
      <c r="G74" s="45">
        <f aca="true" t="shared" si="6" ref="G74:I75">G75</f>
        <v>0</v>
      </c>
      <c r="H74" s="45">
        <f t="shared" si="6"/>
        <v>0</v>
      </c>
      <c r="I74" s="45">
        <f t="shared" si="6"/>
        <v>0</v>
      </c>
    </row>
    <row r="75" spans="1:9" ht="130.5" customHeight="1" hidden="1">
      <c r="A75" s="40" t="s">
        <v>289</v>
      </c>
      <c r="B75" s="43" t="s">
        <v>796</v>
      </c>
      <c r="C75" s="43" t="s">
        <v>59</v>
      </c>
      <c r="D75" s="43" t="s">
        <v>52</v>
      </c>
      <c r="E75" s="43" t="s">
        <v>167</v>
      </c>
      <c r="F75" s="43"/>
      <c r="G75" s="45">
        <f t="shared" si="6"/>
        <v>0</v>
      </c>
      <c r="H75" s="45">
        <f t="shared" si="6"/>
        <v>0</v>
      </c>
      <c r="I75" s="45">
        <f t="shared" si="6"/>
        <v>0</v>
      </c>
    </row>
    <row r="76" spans="1:9" ht="18" customHeight="1" hidden="1">
      <c r="A76" s="40" t="s">
        <v>110</v>
      </c>
      <c r="B76" s="43" t="s">
        <v>796</v>
      </c>
      <c r="C76" s="43" t="s">
        <v>59</v>
      </c>
      <c r="D76" s="43" t="s">
        <v>52</v>
      </c>
      <c r="E76" s="43" t="s">
        <v>167</v>
      </c>
      <c r="F76" s="43" t="s">
        <v>111</v>
      </c>
      <c r="G76" s="45">
        <v>0</v>
      </c>
      <c r="H76" s="45">
        <v>0</v>
      </c>
      <c r="I76" s="45">
        <v>0</v>
      </c>
    </row>
    <row r="77" spans="1:9" ht="47.25">
      <c r="A77" s="40" t="s">
        <v>432</v>
      </c>
      <c r="B77" s="43" t="s">
        <v>796</v>
      </c>
      <c r="C77" s="43" t="s">
        <v>59</v>
      </c>
      <c r="D77" s="43" t="s">
        <v>52</v>
      </c>
      <c r="E77" s="43" t="s">
        <v>433</v>
      </c>
      <c r="F77" s="43"/>
      <c r="G77" s="45">
        <f aca="true" t="shared" si="7" ref="G77:I78">G78</f>
        <v>0</v>
      </c>
      <c r="H77" s="45">
        <f t="shared" si="7"/>
        <v>3633.2</v>
      </c>
      <c r="I77" s="45">
        <f t="shared" si="7"/>
        <v>0</v>
      </c>
    </row>
    <row r="78" spans="1:9" ht="85.5" customHeight="1">
      <c r="A78" s="40" t="s">
        <v>955</v>
      </c>
      <c r="B78" s="43" t="s">
        <v>796</v>
      </c>
      <c r="C78" s="43" t="s">
        <v>59</v>
      </c>
      <c r="D78" s="43" t="s">
        <v>52</v>
      </c>
      <c r="E78" s="43" t="s">
        <v>956</v>
      </c>
      <c r="F78" s="43"/>
      <c r="G78" s="45">
        <f t="shared" si="7"/>
        <v>0</v>
      </c>
      <c r="H78" s="45">
        <f t="shared" si="7"/>
        <v>3633.2</v>
      </c>
      <c r="I78" s="45">
        <f t="shared" si="7"/>
        <v>0</v>
      </c>
    </row>
    <row r="79" spans="1:9" ht="18" customHeight="1">
      <c r="A79" s="40" t="s">
        <v>110</v>
      </c>
      <c r="B79" s="43" t="s">
        <v>796</v>
      </c>
      <c r="C79" s="43" t="s">
        <v>59</v>
      </c>
      <c r="D79" s="43" t="s">
        <v>52</v>
      </c>
      <c r="E79" s="43" t="s">
        <v>956</v>
      </c>
      <c r="F79" s="43" t="s">
        <v>111</v>
      </c>
      <c r="G79" s="45">
        <v>0</v>
      </c>
      <c r="H79" s="45">
        <f>3478.1+155.1</f>
        <v>3633.2</v>
      </c>
      <c r="I79" s="45">
        <v>0</v>
      </c>
    </row>
    <row r="80" spans="1:9" ht="78.75">
      <c r="A80" s="40" t="s">
        <v>967</v>
      </c>
      <c r="B80" s="43" t="s">
        <v>796</v>
      </c>
      <c r="C80" s="43" t="s">
        <v>59</v>
      </c>
      <c r="D80" s="43" t="s">
        <v>52</v>
      </c>
      <c r="E80" s="43" t="s">
        <v>969</v>
      </c>
      <c r="F80" s="43"/>
      <c r="G80" s="45">
        <f aca="true" t="shared" si="8" ref="G80:I81">G81</f>
        <v>451.4</v>
      </c>
      <c r="H80" s="45">
        <f t="shared" si="8"/>
        <v>451.4</v>
      </c>
      <c r="I80" s="45">
        <f t="shared" si="8"/>
        <v>451.4</v>
      </c>
    </row>
    <row r="81" spans="1:9" ht="78.75">
      <c r="A81" s="40" t="s">
        <v>968</v>
      </c>
      <c r="B81" s="43" t="s">
        <v>796</v>
      </c>
      <c r="C81" s="43" t="s">
        <v>59</v>
      </c>
      <c r="D81" s="43" t="s">
        <v>52</v>
      </c>
      <c r="E81" s="43" t="s">
        <v>970</v>
      </c>
      <c r="F81" s="43"/>
      <c r="G81" s="45">
        <f t="shared" si="8"/>
        <v>451.4</v>
      </c>
      <c r="H81" s="45">
        <f t="shared" si="8"/>
        <v>451.4</v>
      </c>
      <c r="I81" s="45">
        <f t="shared" si="8"/>
        <v>451.4</v>
      </c>
    </row>
    <row r="82" spans="1:9" ht="18" customHeight="1">
      <c r="A82" s="40" t="s">
        <v>110</v>
      </c>
      <c r="B82" s="43" t="s">
        <v>796</v>
      </c>
      <c r="C82" s="43" t="s">
        <v>59</v>
      </c>
      <c r="D82" s="43" t="s">
        <v>52</v>
      </c>
      <c r="E82" s="43" t="s">
        <v>970</v>
      </c>
      <c r="F82" s="43" t="s">
        <v>111</v>
      </c>
      <c r="G82" s="45">
        <v>451.4</v>
      </c>
      <c r="H82" s="45">
        <v>451.4</v>
      </c>
      <c r="I82" s="45">
        <v>451.4</v>
      </c>
    </row>
    <row r="83" spans="1:9" ht="67.5" customHeight="1">
      <c r="A83" s="40" t="s">
        <v>713</v>
      </c>
      <c r="B83" s="43" t="s">
        <v>796</v>
      </c>
      <c r="C83" s="43" t="s">
        <v>59</v>
      </c>
      <c r="D83" s="43" t="s">
        <v>52</v>
      </c>
      <c r="E83" s="43" t="s">
        <v>374</v>
      </c>
      <c r="F83" s="43"/>
      <c r="G83" s="45">
        <f>G84</f>
        <v>322.9</v>
      </c>
      <c r="H83" s="45">
        <f>H84</f>
        <v>322.9</v>
      </c>
      <c r="I83" s="45">
        <f>I84</f>
        <v>322.9</v>
      </c>
    </row>
    <row r="84" spans="1:9" ht="83.25" customHeight="1">
      <c r="A84" s="40" t="s">
        <v>198</v>
      </c>
      <c r="B84" s="43" t="s">
        <v>796</v>
      </c>
      <c r="C84" s="43" t="s">
        <v>59</v>
      </c>
      <c r="D84" s="43" t="s">
        <v>52</v>
      </c>
      <c r="E84" s="43" t="s">
        <v>307</v>
      </c>
      <c r="F84" s="43"/>
      <c r="G84" s="45">
        <f aca="true" t="shared" si="9" ref="G84:I85">G85</f>
        <v>322.9</v>
      </c>
      <c r="H84" s="45">
        <f t="shared" si="9"/>
        <v>322.9</v>
      </c>
      <c r="I84" s="45">
        <f t="shared" si="9"/>
        <v>322.9</v>
      </c>
    </row>
    <row r="85" spans="1:9" ht="36.75" customHeight="1">
      <c r="A85" s="40" t="s">
        <v>114</v>
      </c>
      <c r="B85" s="43" t="s">
        <v>796</v>
      </c>
      <c r="C85" s="43" t="s">
        <v>59</v>
      </c>
      <c r="D85" s="43" t="s">
        <v>52</v>
      </c>
      <c r="E85" s="43" t="s">
        <v>308</v>
      </c>
      <c r="F85" s="43"/>
      <c r="G85" s="45">
        <f t="shared" si="9"/>
        <v>322.9</v>
      </c>
      <c r="H85" s="45">
        <f t="shared" si="9"/>
        <v>322.9</v>
      </c>
      <c r="I85" s="45">
        <f t="shared" si="9"/>
        <v>322.9</v>
      </c>
    </row>
    <row r="86" spans="1:9" ht="18.75" customHeight="1">
      <c r="A86" s="40" t="s">
        <v>110</v>
      </c>
      <c r="B86" s="43" t="s">
        <v>796</v>
      </c>
      <c r="C86" s="43" t="s">
        <v>59</v>
      </c>
      <c r="D86" s="43" t="s">
        <v>52</v>
      </c>
      <c r="E86" s="43" t="s">
        <v>308</v>
      </c>
      <c r="F86" s="43" t="s">
        <v>111</v>
      </c>
      <c r="G86" s="45">
        <v>322.9</v>
      </c>
      <c r="H86" s="45">
        <v>322.9</v>
      </c>
      <c r="I86" s="45">
        <v>322.9</v>
      </c>
    </row>
    <row r="87" spans="1:9" ht="15.75">
      <c r="A87" s="40" t="s">
        <v>347</v>
      </c>
      <c r="B87" s="43" t="s">
        <v>796</v>
      </c>
      <c r="C87" s="43" t="s">
        <v>59</v>
      </c>
      <c r="D87" s="43" t="s">
        <v>54</v>
      </c>
      <c r="E87" s="43"/>
      <c r="F87" s="43"/>
      <c r="G87" s="45">
        <f aca="true" t="shared" si="10" ref="G87:I88">G88</f>
        <v>21855.1</v>
      </c>
      <c r="H87" s="45">
        <f t="shared" si="10"/>
        <v>17060.5</v>
      </c>
      <c r="I87" s="45">
        <f t="shared" si="10"/>
        <v>17060.5</v>
      </c>
    </row>
    <row r="88" spans="1:9" ht="63">
      <c r="A88" s="40" t="s">
        <v>932</v>
      </c>
      <c r="B88" s="43" t="s">
        <v>796</v>
      </c>
      <c r="C88" s="43" t="s">
        <v>59</v>
      </c>
      <c r="D88" s="43" t="s">
        <v>54</v>
      </c>
      <c r="E88" s="43" t="s">
        <v>369</v>
      </c>
      <c r="F88" s="43"/>
      <c r="G88" s="45">
        <f t="shared" si="10"/>
        <v>21855.1</v>
      </c>
      <c r="H88" s="45">
        <f t="shared" si="10"/>
        <v>17060.5</v>
      </c>
      <c r="I88" s="45">
        <f t="shared" si="10"/>
        <v>17060.5</v>
      </c>
    </row>
    <row r="89" spans="1:9" ht="31.5">
      <c r="A89" s="40" t="s">
        <v>112</v>
      </c>
      <c r="B89" s="43" t="s">
        <v>796</v>
      </c>
      <c r="C89" s="43" t="s">
        <v>59</v>
      </c>
      <c r="D89" s="43" t="s">
        <v>54</v>
      </c>
      <c r="E89" s="43" t="s">
        <v>156</v>
      </c>
      <c r="F89" s="43"/>
      <c r="G89" s="45">
        <f>G90+G97</f>
        <v>21855.1</v>
      </c>
      <c r="H89" s="45">
        <f>H90+H97</f>
        <v>17060.5</v>
      </c>
      <c r="I89" s="45">
        <f>I90+I97</f>
        <v>17060.5</v>
      </c>
    </row>
    <row r="90" spans="1:9" ht="78.75">
      <c r="A90" s="40" t="s">
        <v>702</v>
      </c>
      <c r="B90" s="43" t="s">
        <v>796</v>
      </c>
      <c r="C90" s="43" t="s">
        <v>59</v>
      </c>
      <c r="D90" s="43" t="s">
        <v>54</v>
      </c>
      <c r="E90" s="43" t="s">
        <v>155</v>
      </c>
      <c r="F90" s="43"/>
      <c r="G90" s="45">
        <f>G91+G93+G95</f>
        <v>20197.8</v>
      </c>
      <c r="H90" s="45">
        <f>H91+H93</f>
        <v>12595.1</v>
      </c>
      <c r="I90" s="45">
        <f>I91+I93</f>
        <v>12595.1</v>
      </c>
    </row>
    <row r="91" spans="1:9" ht="31.5">
      <c r="A91" s="40" t="s">
        <v>113</v>
      </c>
      <c r="B91" s="43" t="s">
        <v>796</v>
      </c>
      <c r="C91" s="43" t="s">
        <v>59</v>
      </c>
      <c r="D91" s="43" t="s">
        <v>54</v>
      </c>
      <c r="E91" s="43" t="s">
        <v>157</v>
      </c>
      <c r="F91" s="43"/>
      <c r="G91" s="45">
        <f>G92</f>
        <v>12134</v>
      </c>
      <c r="H91" s="45">
        <f>H92</f>
        <v>10294.7</v>
      </c>
      <c r="I91" s="45">
        <f>I92</f>
        <v>10178.2</v>
      </c>
    </row>
    <row r="92" spans="1:9" ht="15.75">
      <c r="A92" s="40" t="s">
        <v>110</v>
      </c>
      <c r="B92" s="43" t="s">
        <v>796</v>
      </c>
      <c r="C92" s="43" t="s">
        <v>59</v>
      </c>
      <c r="D92" s="43" t="s">
        <v>54</v>
      </c>
      <c r="E92" s="43" t="s">
        <v>157</v>
      </c>
      <c r="F92" s="43" t="s">
        <v>111</v>
      </c>
      <c r="G92" s="45">
        <v>12134</v>
      </c>
      <c r="H92" s="45">
        <v>10294.7</v>
      </c>
      <c r="I92" s="45">
        <v>10178.2</v>
      </c>
    </row>
    <row r="93" spans="1:9" ht="63">
      <c r="A93" s="40" t="s">
        <v>462</v>
      </c>
      <c r="B93" s="43" t="s">
        <v>796</v>
      </c>
      <c r="C93" s="43" t="s">
        <v>59</v>
      </c>
      <c r="D93" s="43" t="s">
        <v>54</v>
      </c>
      <c r="E93" s="43" t="s">
        <v>475</v>
      </c>
      <c r="F93" s="43"/>
      <c r="G93" s="45">
        <f>G94</f>
        <v>2187.4</v>
      </c>
      <c r="H93" s="45">
        <f>H94</f>
        <v>2300.4</v>
      </c>
      <c r="I93" s="45">
        <f>I94</f>
        <v>2416.9</v>
      </c>
    </row>
    <row r="94" spans="1:9" ht="15.75">
      <c r="A94" s="40" t="s">
        <v>110</v>
      </c>
      <c r="B94" s="43" t="s">
        <v>796</v>
      </c>
      <c r="C94" s="43" t="s">
        <v>59</v>
      </c>
      <c r="D94" s="43" t="s">
        <v>54</v>
      </c>
      <c r="E94" s="43" t="s">
        <v>475</v>
      </c>
      <c r="F94" s="43" t="s">
        <v>111</v>
      </c>
      <c r="G94" s="45">
        <v>2187.4</v>
      </c>
      <c r="H94" s="45">
        <v>2300.4</v>
      </c>
      <c r="I94" s="45">
        <v>2416.9</v>
      </c>
    </row>
    <row r="95" spans="1:9" ht="83.25" customHeight="1">
      <c r="A95" s="40" t="s">
        <v>1025</v>
      </c>
      <c r="B95" s="43" t="s">
        <v>796</v>
      </c>
      <c r="C95" s="43" t="s">
        <v>59</v>
      </c>
      <c r="D95" s="43" t="s">
        <v>54</v>
      </c>
      <c r="E95" s="43" t="s">
        <v>994</v>
      </c>
      <c r="F95" s="43"/>
      <c r="G95" s="45">
        <f>G96</f>
        <v>5876.400000000001</v>
      </c>
      <c r="H95" s="45">
        <f>H96</f>
        <v>0</v>
      </c>
      <c r="I95" s="45">
        <f>I96</f>
        <v>0</v>
      </c>
    </row>
    <row r="96" spans="1:9" ht="15.75">
      <c r="A96" s="40" t="s">
        <v>110</v>
      </c>
      <c r="B96" s="43" t="s">
        <v>796</v>
      </c>
      <c r="C96" s="43" t="s">
        <v>59</v>
      </c>
      <c r="D96" s="43" t="s">
        <v>54</v>
      </c>
      <c r="E96" s="43" t="s">
        <v>994</v>
      </c>
      <c r="F96" s="43" t="s">
        <v>111</v>
      </c>
      <c r="G96" s="45">
        <f>5817.6+58.8</f>
        <v>5876.400000000001</v>
      </c>
      <c r="H96" s="45">
        <v>0</v>
      </c>
      <c r="I96" s="45">
        <v>0</v>
      </c>
    </row>
    <row r="97" spans="1:9" ht="78.75">
      <c r="A97" s="40" t="s">
        <v>385</v>
      </c>
      <c r="B97" s="43" t="s">
        <v>796</v>
      </c>
      <c r="C97" s="43" t="s">
        <v>59</v>
      </c>
      <c r="D97" s="43" t="s">
        <v>54</v>
      </c>
      <c r="E97" s="43" t="s">
        <v>386</v>
      </c>
      <c r="F97" s="43"/>
      <c r="G97" s="45">
        <f>G98+G100</f>
        <v>1657.3000000000002</v>
      </c>
      <c r="H97" s="45">
        <f>H98+H100</f>
        <v>4465.4</v>
      </c>
      <c r="I97" s="45">
        <f>I98+I100</f>
        <v>4465.4</v>
      </c>
    </row>
    <row r="98" spans="1:9" ht="31.5">
      <c r="A98" s="37" t="s">
        <v>218</v>
      </c>
      <c r="B98" s="43" t="s">
        <v>796</v>
      </c>
      <c r="C98" s="43" t="s">
        <v>59</v>
      </c>
      <c r="D98" s="43" t="s">
        <v>54</v>
      </c>
      <c r="E98" s="43" t="s">
        <v>388</v>
      </c>
      <c r="F98" s="43"/>
      <c r="G98" s="45">
        <f>G99</f>
        <v>122.4</v>
      </c>
      <c r="H98" s="45">
        <f>H99</f>
        <v>122.4</v>
      </c>
      <c r="I98" s="45">
        <f>I99</f>
        <v>122.4</v>
      </c>
    </row>
    <row r="99" spans="1:9" ht="63">
      <c r="A99" s="40" t="s">
        <v>147</v>
      </c>
      <c r="B99" s="43" t="s">
        <v>796</v>
      </c>
      <c r="C99" s="43" t="s">
        <v>59</v>
      </c>
      <c r="D99" s="43" t="s">
        <v>54</v>
      </c>
      <c r="E99" s="43" t="s">
        <v>388</v>
      </c>
      <c r="F99" s="43" t="s">
        <v>219</v>
      </c>
      <c r="G99" s="45">
        <v>122.4</v>
      </c>
      <c r="H99" s="45">
        <v>122.4</v>
      </c>
      <c r="I99" s="45">
        <v>122.4</v>
      </c>
    </row>
    <row r="100" spans="1:9" ht="78.75">
      <c r="A100" s="40" t="s">
        <v>387</v>
      </c>
      <c r="B100" s="43" t="s">
        <v>796</v>
      </c>
      <c r="C100" s="43" t="s">
        <v>59</v>
      </c>
      <c r="D100" s="43" t="s">
        <v>54</v>
      </c>
      <c r="E100" s="43" t="s">
        <v>389</v>
      </c>
      <c r="F100" s="43"/>
      <c r="G100" s="45">
        <f>G101</f>
        <v>1534.9</v>
      </c>
      <c r="H100" s="45">
        <f>H101</f>
        <v>4343</v>
      </c>
      <c r="I100" s="45">
        <f>I101</f>
        <v>4343</v>
      </c>
    </row>
    <row r="101" spans="1:9" ht="63">
      <c r="A101" s="40" t="s">
        <v>147</v>
      </c>
      <c r="B101" s="43" t="s">
        <v>796</v>
      </c>
      <c r="C101" s="43" t="s">
        <v>59</v>
      </c>
      <c r="D101" s="43" t="s">
        <v>54</v>
      </c>
      <c r="E101" s="43" t="s">
        <v>389</v>
      </c>
      <c r="F101" s="43" t="s">
        <v>219</v>
      </c>
      <c r="G101" s="45">
        <v>1534.9</v>
      </c>
      <c r="H101" s="45">
        <v>4343</v>
      </c>
      <c r="I101" s="45">
        <v>4343</v>
      </c>
    </row>
    <row r="102" spans="1:9" ht="47.25">
      <c r="A102" s="40" t="s">
        <v>520</v>
      </c>
      <c r="B102" s="43" t="s">
        <v>796</v>
      </c>
      <c r="C102" s="43" t="s">
        <v>59</v>
      </c>
      <c r="D102" s="43" t="s">
        <v>69</v>
      </c>
      <c r="E102" s="43"/>
      <c r="F102" s="43"/>
      <c r="G102" s="45">
        <f>G103</f>
        <v>3.6</v>
      </c>
      <c r="H102" s="45"/>
      <c r="I102" s="45"/>
    </row>
    <row r="103" spans="1:9" ht="63">
      <c r="A103" s="40" t="s">
        <v>932</v>
      </c>
      <c r="B103" s="43" t="s">
        <v>796</v>
      </c>
      <c r="C103" s="43" t="s">
        <v>59</v>
      </c>
      <c r="D103" s="43" t="s">
        <v>69</v>
      </c>
      <c r="E103" s="43" t="s">
        <v>369</v>
      </c>
      <c r="F103" s="43"/>
      <c r="G103" s="45">
        <f>G104</f>
        <v>3.6</v>
      </c>
      <c r="H103" s="45"/>
      <c r="I103" s="45"/>
    </row>
    <row r="104" spans="1:9" ht="31.5">
      <c r="A104" s="40" t="s">
        <v>112</v>
      </c>
      <c r="B104" s="43" t="s">
        <v>796</v>
      </c>
      <c r="C104" s="43" t="s">
        <v>59</v>
      </c>
      <c r="D104" s="43" t="s">
        <v>69</v>
      </c>
      <c r="E104" s="43" t="s">
        <v>156</v>
      </c>
      <c r="F104" s="43"/>
      <c r="G104" s="45">
        <f>G105</f>
        <v>3.6</v>
      </c>
      <c r="H104" s="45"/>
      <c r="I104" s="45"/>
    </row>
    <row r="105" spans="1:9" ht="78.75">
      <c r="A105" s="40" t="s">
        <v>702</v>
      </c>
      <c r="B105" s="43" t="s">
        <v>796</v>
      </c>
      <c r="C105" s="43" t="s">
        <v>59</v>
      </c>
      <c r="D105" s="43" t="s">
        <v>69</v>
      </c>
      <c r="E105" s="43" t="s">
        <v>155</v>
      </c>
      <c r="F105" s="43"/>
      <c r="G105" s="45">
        <f>G106</f>
        <v>3.6</v>
      </c>
      <c r="H105" s="45"/>
      <c r="I105" s="45"/>
    </row>
    <row r="106" spans="1:9" ht="47.25">
      <c r="A106" s="40" t="s">
        <v>114</v>
      </c>
      <c r="B106" s="43" t="s">
        <v>796</v>
      </c>
      <c r="C106" s="43" t="s">
        <v>59</v>
      </c>
      <c r="D106" s="43" t="s">
        <v>69</v>
      </c>
      <c r="E106" s="43" t="s">
        <v>158</v>
      </c>
      <c r="F106" s="43"/>
      <c r="G106" s="45">
        <f>G107</f>
        <v>3.6</v>
      </c>
      <c r="H106" s="45"/>
      <c r="I106" s="45"/>
    </row>
    <row r="107" spans="1:9" ht="15.75">
      <c r="A107" s="40" t="s">
        <v>110</v>
      </c>
      <c r="B107" s="43" t="s">
        <v>796</v>
      </c>
      <c r="C107" s="43" t="s">
        <v>59</v>
      </c>
      <c r="D107" s="43" t="s">
        <v>69</v>
      </c>
      <c r="E107" s="43" t="s">
        <v>158</v>
      </c>
      <c r="F107" s="43" t="s">
        <v>111</v>
      </c>
      <c r="G107" s="45">
        <v>3.6</v>
      </c>
      <c r="H107" s="45"/>
      <c r="I107" s="45"/>
    </row>
    <row r="108" spans="1:9" ht="21" customHeight="1">
      <c r="A108" s="40" t="s">
        <v>79</v>
      </c>
      <c r="B108" s="43" t="s">
        <v>796</v>
      </c>
      <c r="C108" s="43" t="s">
        <v>59</v>
      </c>
      <c r="D108" s="43" t="s">
        <v>65</v>
      </c>
      <c r="E108" s="43"/>
      <c r="F108" s="43"/>
      <c r="G108" s="45">
        <f>G109+G155+G145</f>
        <v>24922.5</v>
      </c>
      <c r="H108" s="45">
        <f>H109+H155+H145</f>
        <v>22395.399999999998</v>
      </c>
      <c r="I108" s="45">
        <f>I109+I155+I145</f>
        <v>22395.399999999998</v>
      </c>
    </row>
    <row r="109" spans="1:9" ht="63">
      <c r="A109" s="40" t="s">
        <v>932</v>
      </c>
      <c r="B109" s="43" t="s">
        <v>796</v>
      </c>
      <c r="C109" s="43" t="s">
        <v>59</v>
      </c>
      <c r="D109" s="43" t="s">
        <v>65</v>
      </c>
      <c r="E109" s="43" t="s">
        <v>369</v>
      </c>
      <c r="F109" s="43"/>
      <c r="G109" s="45">
        <f>G121+G110+G140+G117</f>
        <v>24414.5</v>
      </c>
      <c r="H109" s="45">
        <f>H121+H110+H140</f>
        <v>21887.399999999998</v>
      </c>
      <c r="I109" s="45">
        <f>I121+I110+I140</f>
        <v>21887.399999999998</v>
      </c>
    </row>
    <row r="110" spans="1:9" ht="31.5">
      <c r="A110" s="40" t="s">
        <v>112</v>
      </c>
      <c r="B110" s="43" t="s">
        <v>796</v>
      </c>
      <c r="C110" s="43" t="s">
        <v>59</v>
      </c>
      <c r="D110" s="43" t="s">
        <v>65</v>
      </c>
      <c r="E110" s="43" t="s">
        <v>156</v>
      </c>
      <c r="F110" s="43"/>
      <c r="G110" s="45">
        <f>G111+G114</f>
        <v>2210.8999999999996</v>
      </c>
      <c r="H110" s="45">
        <f>H111+H114</f>
        <v>15.6</v>
      </c>
      <c r="I110" s="45">
        <f>I111+I114</f>
        <v>15.6</v>
      </c>
    </row>
    <row r="111" spans="1:9" ht="66.75" customHeight="1">
      <c r="A111" s="40" t="s">
        <v>125</v>
      </c>
      <c r="B111" s="43" t="s">
        <v>796</v>
      </c>
      <c r="C111" s="43" t="s">
        <v>59</v>
      </c>
      <c r="D111" s="43" t="s">
        <v>65</v>
      </c>
      <c r="E111" s="43" t="s">
        <v>168</v>
      </c>
      <c r="F111" s="43"/>
      <c r="G111" s="45">
        <f aca="true" t="shared" si="11" ref="G111:I112">G112</f>
        <v>15.6</v>
      </c>
      <c r="H111" s="45">
        <f t="shared" si="11"/>
        <v>15.6</v>
      </c>
      <c r="I111" s="45">
        <f t="shared" si="11"/>
        <v>15.6</v>
      </c>
    </row>
    <row r="112" spans="1:9" ht="131.25" customHeight="1">
      <c r="A112" s="40" t="s">
        <v>289</v>
      </c>
      <c r="B112" s="43" t="s">
        <v>796</v>
      </c>
      <c r="C112" s="43" t="s">
        <v>59</v>
      </c>
      <c r="D112" s="43" t="s">
        <v>65</v>
      </c>
      <c r="E112" s="43" t="s">
        <v>126</v>
      </c>
      <c r="F112" s="43"/>
      <c r="G112" s="45">
        <f t="shared" si="11"/>
        <v>15.6</v>
      </c>
      <c r="H112" s="45">
        <f t="shared" si="11"/>
        <v>15.6</v>
      </c>
      <c r="I112" s="45">
        <f t="shared" si="11"/>
        <v>15.6</v>
      </c>
    </row>
    <row r="113" spans="1:9" ht="47.25">
      <c r="A113" s="40" t="s">
        <v>221</v>
      </c>
      <c r="B113" s="43" t="s">
        <v>796</v>
      </c>
      <c r="C113" s="43" t="s">
        <v>59</v>
      </c>
      <c r="D113" s="43" t="s">
        <v>65</v>
      </c>
      <c r="E113" s="43" t="s">
        <v>126</v>
      </c>
      <c r="F113" s="43" t="s">
        <v>222</v>
      </c>
      <c r="G113" s="45">
        <v>15.6</v>
      </c>
      <c r="H113" s="45">
        <v>15.6</v>
      </c>
      <c r="I113" s="45">
        <v>15.6</v>
      </c>
    </row>
    <row r="114" spans="1:9" ht="47.25">
      <c r="A114" s="40" t="s">
        <v>980</v>
      </c>
      <c r="B114" s="43" t="s">
        <v>796</v>
      </c>
      <c r="C114" s="43" t="s">
        <v>59</v>
      </c>
      <c r="D114" s="43" t="s">
        <v>65</v>
      </c>
      <c r="E114" s="43" t="s">
        <v>712</v>
      </c>
      <c r="F114" s="43"/>
      <c r="G114" s="45">
        <f aca="true" t="shared" si="12" ref="G114:I115">G115</f>
        <v>2195.2999999999997</v>
      </c>
      <c r="H114" s="45">
        <f t="shared" si="12"/>
        <v>0</v>
      </c>
      <c r="I114" s="45">
        <f t="shared" si="12"/>
        <v>0</v>
      </c>
    </row>
    <row r="115" spans="1:9" ht="135.75" customHeight="1">
      <c r="A115" s="40" t="s">
        <v>959</v>
      </c>
      <c r="B115" s="43" t="s">
        <v>796</v>
      </c>
      <c r="C115" s="43" t="s">
        <v>59</v>
      </c>
      <c r="D115" s="43" t="s">
        <v>65</v>
      </c>
      <c r="E115" s="43" t="s">
        <v>958</v>
      </c>
      <c r="F115" s="43"/>
      <c r="G115" s="45">
        <f t="shared" si="12"/>
        <v>2195.2999999999997</v>
      </c>
      <c r="H115" s="45">
        <f t="shared" si="12"/>
        <v>0</v>
      </c>
      <c r="I115" s="45">
        <f t="shared" si="12"/>
        <v>0</v>
      </c>
    </row>
    <row r="116" spans="1:9" ht="48" customHeight="1">
      <c r="A116" s="40" t="s">
        <v>20</v>
      </c>
      <c r="B116" s="43" t="s">
        <v>796</v>
      </c>
      <c r="C116" s="43" t="s">
        <v>59</v>
      </c>
      <c r="D116" s="43" t="s">
        <v>65</v>
      </c>
      <c r="E116" s="43" t="s">
        <v>958</v>
      </c>
      <c r="F116" s="43" t="s">
        <v>100</v>
      </c>
      <c r="G116" s="45">
        <f>2195.1+0.2</f>
        <v>2195.2999999999997</v>
      </c>
      <c r="H116" s="45">
        <v>0</v>
      </c>
      <c r="I116" s="45">
        <v>0</v>
      </c>
    </row>
    <row r="117" spans="1:9" ht="102" customHeight="1">
      <c r="A117" s="40" t="s">
        <v>108</v>
      </c>
      <c r="B117" s="43" t="s">
        <v>796</v>
      </c>
      <c r="C117" s="43" t="s">
        <v>59</v>
      </c>
      <c r="D117" s="43" t="s">
        <v>65</v>
      </c>
      <c r="E117" s="43" t="s">
        <v>151</v>
      </c>
      <c r="F117" s="43"/>
      <c r="G117" s="45">
        <f>G118</f>
        <v>268.5</v>
      </c>
      <c r="H117" s="45"/>
      <c r="I117" s="45"/>
    </row>
    <row r="118" spans="1:9" ht="48" customHeight="1">
      <c r="A118" s="40" t="s">
        <v>152</v>
      </c>
      <c r="B118" s="43" t="s">
        <v>796</v>
      </c>
      <c r="C118" s="43" t="s">
        <v>59</v>
      </c>
      <c r="D118" s="43" t="s">
        <v>65</v>
      </c>
      <c r="E118" s="43" t="s">
        <v>153</v>
      </c>
      <c r="F118" s="43"/>
      <c r="G118" s="45">
        <f>G119</f>
        <v>268.5</v>
      </c>
      <c r="H118" s="45"/>
      <c r="I118" s="45"/>
    </row>
    <row r="119" spans="1:9" ht="15.75">
      <c r="A119" s="40" t="s">
        <v>109</v>
      </c>
      <c r="B119" s="43" t="s">
        <v>796</v>
      </c>
      <c r="C119" s="43" t="s">
        <v>59</v>
      </c>
      <c r="D119" s="43" t="s">
        <v>65</v>
      </c>
      <c r="E119" s="43" t="s">
        <v>154</v>
      </c>
      <c r="F119" s="43"/>
      <c r="G119" s="45">
        <f>G120</f>
        <v>268.5</v>
      </c>
      <c r="H119" s="45"/>
      <c r="I119" s="45"/>
    </row>
    <row r="120" spans="1:9" ht="15.75">
      <c r="A120" s="40" t="s">
        <v>110</v>
      </c>
      <c r="B120" s="43" t="s">
        <v>796</v>
      </c>
      <c r="C120" s="43" t="s">
        <v>59</v>
      </c>
      <c r="D120" s="43" t="s">
        <v>65</v>
      </c>
      <c r="E120" s="43" t="s">
        <v>154</v>
      </c>
      <c r="F120" s="43" t="s">
        <v>111</v>
      </c>
      <c r="G120" s="45">
        <v>268.5</v>
      </c>
      <c r="H120" s="45"/>
      <c r="I120" s="45"/>
    </row>
    <row r="121" spans="1:9" ht="83.25" customHeight="1">
      <c r="A121" s="37" t="s">
        <v>933</v>
      </c>
      <c r="B121" s="43" t="s">
        <v>796</v>
      </c>
      <c r="C121" s="43" t="s">
        <v>59</v>
      </c>
      <c r="D121" s="43" t="s">
        <v>65</v>
      </c>
      <c r="E121" s="43" t="s">
        <v>127</v>
      </c>
      <c r="F121" s="43"/>
      <c r="G121" s="45">
        <f>G122+G137</f>
        <v>21865.1</v>
      </c>
      <c r="H121" s="45">
        <f>H122+H137</f>
        <v>21801.8</v>
      </c>
      <c r="I121" s="45">
        <f>I122+I137</f>
        <v>21801.8</v>
      </c>
    </row>
    <row r="122" spans="1:9" ht="63">
      <c r="A122" s="37" t="s">
        <v>708</v>
      </c>
      <c r="B122" s="43" t="s">
        <v>796</v>
      </c>
      <c r="C122" s="43" t="s">
        <v>59</v>
      </c>
      <c r="D122" s="43" t="s">
        <v>65</v>
      </c>
      <c r="E122" s="43" t="s">
        <v>128</v>
      </c>
      <c r="F122" s="43"/>
      <c r="G122" s="45">
        <f>G123+G127+G134+G132</f>
        <v>21175.5</v>
      </c>
      <c r="H122" s="45">
        <f>H123+H127+H134+H132</f>
        <v>21213.5</v>
      </c>
      <c r="I122" s="45">
        <f>I123+I127+I134+I132</f>
        <v>21213.5</v>
      </c>
    </row>
    <row r="123" spans="1:9" ht="33.75" customHeight="1">
      <c r="A123" s="40" t="s">
        <v>95</v>
      </c>
      <c r="B123" s="43" t="s">
        <v>796</v>
      </c>
      <c r="C123" s="43" t="s">
        <v>59</v>
      </c>
      <c r="D123" s="43" t="s">
        <v>65</v>
      </c>
      <c r="E123" s="43" t="s">
        <v>348</v>
      </c>
      <c r="F123" s="43"/>
      <c r="G123" s="45">
        <f>G124+G125+G126</f>
        <v>4344.2</v>
      </c>
      <c r="H123" s="45">
        <f>H124+H125+H126</f>
        <v>4322</v>
      </c>
      <c r="I123" s="45">
        <f>I124+I125+I126</f>
        <v>4298.2</v>
      </c>
    </row>
    <row r="124" spans="1:9" ht="50.25" customHeight="1">
      <c r="A124" s="37" t="s">
        <v>96</v>
      </c>
      <c r="B124" s="43" t="s">
        <v>796</v>
      </c>
      <c r="C124" s="43" t="s">
        <v>59</v>
      </c>
      <c r="D124" s="43" t="s">
        <v>65</v>
      </c>
      <c r="E124" s="43" t="s">
        <v>348</v>
      </c>
      <c r="F124" s="43" t="s">
        <v>97</v>
      </c>
      <c r="G124" s="45">
        <v>3674.7</v>
      </c>
      <c r="H124" s="45">
        <v>3651.5</v>
      </c>
      <c r="I124" s="45">
        <v>3627.7</v>
      </c>
    </row>
    <row r="125" spans="1:9" ht="47.25">
      <c r="A125" s="40" t="s">
        <v>20</v>
      </c>
      <c r="B125" s="43" t="s">
        <v>796</v>
      </c>
      <c r="C125" s="43" t="s">
        <v>59</v>
      </c>
      <c r="D125" s="43" t="s">
        <v>65</v>
      </c>
      <c r="E125" s="43" t="s">
        <v>348</v>
      </c>
      <c r="F125" s="43" t="s">
        <v>100</v>
      </c>
      <c r="G125" s="45">
        <v>655.3</v>
      </c>
      <c r="H125" s="45">
        <v>656.3</v>
      </c>
      <c r="I125" s="45">
        <v>656.3</v>
      </c>
    </row>
    <row r="126" spans="1:9" ht="31.5">
      <c r="A126" s="40" t="s">
        <v>21</v>
      </c>
      <c r="B126" s="43" t="s">
        <v>796</v>
      </c>
      <c r="C126" s="43" t="s">
        <v>59</v>
      </c>
      <c r="D126" s="43" t="s">
        <v>65</v>
      </c>
      <c r="E126" s="43" t="s">
        <v>348</v>
      </c>
      <c r="F126" s="43" t="s">
        <v>101</v>
      </c>
      <c r="G126" s="45">
        <v>14.2</v>
      </c>
      <c r="H126" s="45">
        <v>14.2</v>
      </c>
      <c r="I126" s="45">
        <v>14.2</v>
      </c>
    </row>
    <row r="127" spans="1:9" ht="31.5" customHeight="1">
      <c r="A127" s="124" t="s">
        <v>358</v>
      </c>
      <c r="B127" s="43" t="s">
        <v>796</v>
      </c>
      <c r="C127" s="43" t="s">
        <v>59</v>
      </c>
      <c r="D127" s="43" t="s">
        <v>65</v>
      </c>
      <c r="E127" s="43" t="s">
        <v>349</v>
      </c>
      <c r="F127" s="43"/>
      <c r="G127" s="45">
        <f>G128+G129+G131+G130</f>
        <v>8302.9</v>
      </c>
      <c r="H127" s="45">
        <f>H128+H129+H131+H130</f>
        <v>7922.200000000001</v>
      </c>
      <c r="I127" s="45">
        <f>I128+I129+I131+I130</f>
        <v>7491.3</v>
      </c>
    </row>
    <row r="128" spans="1:9" ht="36" customHeight="1">
      <c r="A128" s="40" t="s">
        <v>229</v>
      </c>
      <c r="B128" s="43" t="s">
        <v>796</v>
      </c>
      <c r="C128" s="43" t="s">
        <v>59</v>
      </c>
      <c r="D128" s="43" t="s">
        <v>65</v>
      </c>
      <c r="E128" s="43" t="s">
        <v>349</v>
      </c>
      <c r="F128" s="43" t="s">
        <v>230</v>
      </c>
      <c r="G128" s="45">
        <v>7585.8</v>
      </c>
      <c r="H128" s="45">
        <v>7168.1</v>
      </c>
      <c r="I128" s="45">
        <v>6737.2</v>
      </c>
    </row>
    <row r="129" spans="1:9" ht="47.25">
      <c r="A129" s="40" t="s">
        <v>20</v>
      </c>
      <c r="B129" s="43" t="s">
        <v>796</v>
      </c>
      <c r="C129" s="43" t="s">
        <v>59</v>
      </c>
      <c r="D129" s="43" t="s">
        <v>65</v>
      </c>
      <c r="E129" s="43" t="s">
        <v>349</v>
      </c>
      <c r="F129" s="43" t="s">
        <v>100</v>
      </c>
      <c r="G129" s="45">
        <v>715.1</v>
      </c>
      <c r="H129" s="45">
        <v>752.1</v>
      </c>
      <c r="I129" s="45">
        <v>752.1</v>
      </c>
    </row>
    <row r="130" spans="1:9" ht="47.25" hidden="1">
      <c r="A130" s="40" t="s">
        <v>221</v>
      </c>
      <c r="B130" s="43" t="s">
        <v>796</v>
      </c>
      <c r="C130" s="43" t="s">
        <v>59</v>
      </c>
      <c r="D130" s="43" t="s">
        <v>65</v>
      </c>
      <c r="E130" s="43" t="s">
        <v>349</v>
      </c>
      <c r="F130" s="43" t="s">
        <v>222</v>
      </c>
      <c r="G130" s="45">
        <v>0</v>
      </c>
      <c r="H130" s="45">
        <v>0</v>
      </c>
      <c r="I130" s="45">
        <v>0</v>
      </c>
    </row>
    <row r="131" spans="1:9" ht="31.5">
      <c r="A131" s="40" t="s">
        <v>21</v>
      </c>
      <c r="B131" s="43" t="s">
        <v>796</v>
      </c>
      <c r="C131" s="43" t="s">
        <v>59</v>
      </c>
      <c r="D131" s="43" t="s">
        <v>65</v>
      </c>
      <c r="E131" s="43" t="s">
        <v>349</v>
      </c>
      <c r="F131" s="43" t="s">
        <v>101</v>
      </c>
      <c r="G131" s="45">
        <v>2</v>
      </c>
      <c r="H131" s="45">
        <v>2</v>
      </c>
      <c r="I131" s="45">
        <v>2</v>
      </c>
    </row>
    <row r="132" spans="1:9" ht="252" hidden="1">
      <c r="A132" s="40" t="s">
        <v>550</v>
      </c>
      <c r="B132" s="43" t="s">
        <v>796</v>
      </c>
      <c r="C132" s="43" t="s">
        <v>59</v>
      </c>
      <c r="D132" s="43" t="s">
        <v>65</v>
      </c>
      <c r="E132" s="43" t="s">
        <v>551</v>
      </c>
      <c r="F132" s="43"/>
      <c r="G132" s="45">
        <f>G133</f>
        <v>0</v>
      </c>
      <c r="H132" s="45"/>
      <c r="I132" s="45"/>
    </row>
    <row r="133" spans="1:9" ht="47.25" hidden="1">
      <c r="A133" s="37" t="s">
        <v>96</v>
      </c>
      <c r="B133" s="43" t="s">
        <v>796</v>
      </c>
      <c r="C133" s="43" t="s">
        <v>59</v>
      </c>
      <c r="D133" s="43" t="s">
        <v>65</v>
      </c>
      <c r="E133" s="43" t="s">
        <v>551</v>
      </c>
      <c r="F133" s="43" t="s">
        <v>97</v>
      </c>
      <c r="G133" s="45">
        <v>0</v>
      </c>
      <c r="H133" s="45"/>
      <c r="I133" s="45"/>
    </row>
    <row r="134" spans="1:9" ht="63">
      <c r="A134" s="40" t="s">
        <v>462</v>
      </c>
      <c r="B134" s="43" t="s">
        <v>796</v>
      </c>
      <c r="C134" s="43" t="s">
        <v>59</v>
      </c>
      <c r="D134" s="43" t="s">
        <v>65</v>
      </c>
      <c r="E134" s="43" t="s">
        <v>476</v>
      </c>
      <c r="F134" s="43"/>
      <c r="G134" s="45">
        <f>G135+G136</f>
        <v>8528.4</v>
      </c>
      <c r="H134" s="45">
        <f>H135+H136</f>
        <v>8969.300000000001</v>
      </c>
      <c r="I134" s="45">
        <f>I135+I136</f>
        <v>9424</v>
      </c>
    </row>
    <row r="135" spans="1:9" ht="31.5">
      <c r="A135" s="40" t="s">
        <v>229</v>
      </c>
      <c r="B135" s="43" t="s">
        <v>796</v>
      </c>
      <c r="C135" s="43" t="s">
        <v>59</v>
      </c>
      <c r="D135" s="43" t="s">
        <v>65</v>
      </c>
      <c r="E135" s="43" t="s">
        <v>476</v>
      </c>
      <c r="F135" s="43" t="s">
        <v>230</v>
      </c>
      <c r="G135" s="45">
        <v>8086.5</v>
      </c>
      <c r="H135" s="45">
        <v>8504.2</v>
      </c>
      <c r="I135" s="45">
        <v>8935.1</v>
      </c>
    </row>
    <row r="136" spans="1:9" ht="47.25">
      <c r="A136" s="37" t="s">
        <v>96</v>
      </c>
      <c r="B136" s="43" t="s">
        <v>796</v>
      </c>
      <c r="C136" s="43" t="s">
        <v>59</v>
      </c>
      <c r="D136" s="43" t="s">
        <v>65</v>
      </c>
      <c r="E136" s="43" t="s">
        <v>476</v>
      </c>
      <c r="F136" s="43" t="s">
        <v>97</v>
      </c>
      <c r="G136" s="45">
        <v>441.9</v>
      </c>
      <c r="H136" s="45">
        <v>465.1</v>
      </c>
      <c r="I136" s="45">
        <v>488.9</v>
      </c>
    </row>
    <row r="137" spans="1:9" ht="78.75">
      <c r="A137" s="124" t="s">
        <v>971</v>
      </c>
      <c r="B137" s="43" t="s">
        <v>796</v>
      </c>
      <c r="C137" s="43" t="s">
        <v>59</v>
      </c>
      <c r="D137" s="43" t="s">
        <v>65</v>
      </c>
      <c r="E137" s="43" t="s">
        <v>972</v>
      </c>
      <c r="F137" s="43"/>
      <c r="G137" s="45">
        <f aca="true" t="shared" si="13" ref="G137:I138">G138</f>
        <v>689.5999999999999</v>
      </c>
      <c r="H137" s="45">
        <f t="shared" si="13"/>
        <v>588.3</v>
      </c>
      <c r="I137" s="45">
        <f t="shared" si="13"/>
        <v>588.3</v>
      </c>
    </row>
    <row r="138" spans="1:9" ht="78.75">
      <c r="A138" s="40" t="s">
        <v>964</v>
      </c>
      <c r="B138" s="43" t="s">
        <v>796</v>
      </c>
      <c r="C138" s="43" t="s">
        <v>59</v>
      </c>
      <c r="D138" s="43" t="s">
        <v>65</v>
      </c>
      <c r="E138" s="43" t="s">
        <v>973</v>
      </c>
      <c r="F138" s="43"/>
      <c r="G138" s="45">
        <f t="shared" si="13"/>
        <v>689.5999999999999</v>
      </c>
      <c r="H138" s="45">
        <f t="shared" si="13"/>
        <v>588.3</v>
      </c>
      <c r="I138" s="45">
        <f t="shared" si="13"/>
        <v>588.3</v>
      </c>
    </row>
    <row r="139" spans="1:9" ht="47.25">
      <c r="A139" s="40" t="s">
        <v>20</v>
      </c>
      <c r="B139" s="43" t="s">
        <v>796</v>
      </c>
      <c r="C139" s="43" t="s">
        <v>59</v>
      </c>
      <c r="D139" s="43" t="s">
        <v>65</v>
      </c>
      <c r="E139" s="43" t="s">
        <v>973</v>
      </c>
      <c r="F139" s="43" t="s">
        <v>100</v>
      </c>
      <c r="G139" s="45">
        <v>689.5999999999999</v>
      </c>
      <c r="H139" s="45">
        <f>582.4+5.9</f>
        <v>588.3</v>
      </c>
      <c r="I139" s="45">
        <f>582.4+5.9</f>
        <v>588.3</v>
      </c>
    </row>
    <row r="140" spans="1:9" ht="15.75">
      <c r="A140" s="124" t="s">
        <v>121</v>
      </c>
      <c r="B140" s="43" t="s">
        <v>796</v>
      </c>
      <c r="C140" s="43" t="s">
        <v>59</v>
      </c>
      <c r="D140" s="43" t="s">
        <v>65</v>
      </c>
      <c r="E140" s="43" t="s">
        <v>350</v>
      </c>
      <c r="F140" s="43"/>
      <c r="G140" s="45">
        <f aca="true" t="shared" si="14" ref="G140:I141">G141</f>
        <v>70</v>
      </c>
      <c r="H140" s="45">
        <f t="shared" si="14"/>
        <v>70</v>
      </c>
      <c r="I140" s="45">
        <f t="shared" si="14"/>
        <v>70</v>
      </c>
    </row>
    <row r="141" spans="1:9" ht="31.5">
      <c r="A141" s="40" t="s">
        <v>199</v>
      </c>
      <c r="B141" s="43" t="s">
        <v>796</v>
      </c>
      <c r="C141" s="43" t="s">
        <v>59</v>
      </c>
      <c r="D141" s="43" t="s">
        <v>65</v>
      </c>
      <c r="E141" s="44" t="s">
        <v>351</v>
      </c>
      <c r="F141" s="43"/>
      <c r="G141" s="45">
        <f t="shared" si="14"/>
        <v>70</v>
      </c>
      <c r="H141" s="45">
        <f t="shared" si="14"/>
        <v>70</v>
      </c>
      <c r="I141" s="45">
        <f t="shared" si="14"/>
        <v>70</v>
      </c>
    </row>
    <row r="142" spans="1:9" ht="31.5">
      <c r="A142" s="40" t="s">
        <v>359</v>
      </c>
      <c r="B142" s="43" t="s">
        <v>796</v>
      </c>
      <c r="C142" s="43" t="s">
        <v>59</v>
      </c>
      <c r="D142" s="43" t="s">
        <v>65</v>
      </c>
      <c r="E142" s="44" t="s">
        <v>352</v>
      </c>
      <c r="F142" s="43"/>
      <c r="G142" s="45">
        <f>G144+G143</f>
        <v>70</v>
      </c>
      <c r="H142" s="45">
        <f>H144+H143</f>
        <v>70</v>
      </c>
      <c r="I142" s="45">
        <f>I144+I143</f>
        <v>70</v>
      </c>
    </row>
    <row r="143" spans="1:9" ht="47.25">
      <c r="A143" s="40" t="s">
        <v>96</v>
      </c>
      <c r="B143" s="43" t="s">
        <v>796</v>
      </c>
      <c r="C143" s="43" t="s">
        <v>59</v>
      </c>
      <c r="D143" s="43" t="s">
        <v>65</v>
      </c>
      <c r="E143" s="44" t="s">
        <v>352</v>
      </c>
      <c r="F143" s="43" t="s">
        <v>97</v>
      </c>
      <c r="G143" s="45">
        <v>16.5</v>
      </c>
      <c r="H143" s="45">
        <v>16.5</v>
      </c>
      <c r="I143" s="45">
        <v>16.5</v>
      </c>
    </row>
    <row r="144" spans="1:9" ht="47.25">
      <c r="A144" s="40" t="s">
        <v>20</v>
      </c>
      <c r="B144" s="43" t="s">
        <v>796</v>
      </c>
      <c r="C144" s="43" t="s">
        <v>59</v>
      </c>
      <c r="D144" s="43" t="s">
        <v>65</v>
      </c>
      <c r="E144" s="44" t="s">
        <v>352</v>
      </c>
      <c r="F144" s="43" t="s">
        <v>100</v>
      </c>
      <c r="G144" s="45">
        <v>53.5</v>
      </c>
      <c r="H144" s="45">
        <v>53.5</v>
      </c>
      <c r="I144" s="45">
        <v>53.5</v>
      </c>
    </row>
    <row r="145" spans="1:9" ht="63">
      <c r="A145" s="40" t="s">
        <v>713</v>
      </c>
      <c r="B145" s="43" t="s">
        <v>796</v>
      </c>
      <c r="C145" s="43" t="s">
        <v>59</v>
      </c>
      <c r="D145" s="43" t="s">
        <v>65</v>
      </c>
      <c r="E145" s="43" t="s">
        <v>374</v>
      </c>
      <c r="F145" s="43"/>
      <c r="G145" s="45">
        <f>G146</f>
        <v>396</v>
      </c>
      <c r="H145" s="45">
        <f>H146</f>
        <v>396</v>
      </c>
      <c r="I145" s="45">
        <f>I146</f>
        <v>396</v>
      </c>
    </row>
    <row r="146" spans="1:9" ht="63">
      <c r="A146" s="40" t="s">
        <v>298</v>
      </c>
      <c r="B146" s="43" t="s">
        <v>796</v>
      </c>
      <c r="C146" s="43" t="s">
        <v>59</v>
      </c>
      <c r="D146" s="43" t="s">
        <v>65</v>
      </c>
      <c r="E146" s="43" t="s">
        <v>299</v>
      </c>
      <c r="F146" s="43"/>
      <c r="G146" s="45">
        <f>G147+G149+G151+G153</f>
        <v>396</v>
      </c>
      <c r="H146" s="45">
        <f>H147+H149+H151+H153</f>
        <v>396</v>
      </c>
      <c r="I146" s="45">
        <f>I147+I149+I151+I153</f>
        <v>396</v>
      </c>
    </row>
    <row r="147" spans="1:9" ht="31.5">
      <c r="A147" s="40" t="s">
        <v>113</v>
      </c>
      <c r="B147" s="43" t="s">
        <v>796</v>
      </c>
      <c r="C147" s="43" t="s">
        <v>59</v>
      </c>
      <c r="D147" s="43" t="s">
        <v>65</v>
      </c>
      <c r="E147" s="43" t="s">
        <v>300</v>
      </c>
      <c r="F147" s="43"/>
      <c r="G147" s="45">
        <f>G148</f>
        <v>95</v>
      </c>
      <c r="H147" s="45">
        <f>H148</f>
        <v>95</v>
      </c>
      <c r="I147" s="45">
        <f>I148</f>
        <v>95</v>
      </c>
    </row>
    <row r="148" spans="1:9" ht="15.75">
      <c r="A148" s="40" t="s">
        <v>110</v>
      </c>
      <c r="B148" s="43" t="s">
        <v>796</v>
      </c>
      <c r="C148" s="43" t="s">
        <v>59</v>
      </c>
      <c r="D148" s="43" t="s">
        <v>65</v>
      </c>
      <c r="E148" s="43" t="s">
        <v>300</v>
      </c>
      <c r="F148" s="43" t="s">
        <v>111</v>
      </c>
      <c r="G148" s="45">
        <v>95</v>
      </c>
      <c r="H148" s="45">
        <v>95</v>
      </c>
      <c r="I148" s="45">
        <v>95</v>
      </c>
    </row>
    <row r="149" spans="1:9" ht="15.75">
      <c r="A149" s="40" t="s">
        <v>109</v>
      </c>
      <c r="B149" s="43" t="s">
        <v>796</v>
      </c>
      <c r="C149" s="43" t="s">
        <v>59</v>
      </c>
      <c r="D149" s="43" t="s">
        <v>65</v>
      </c>
      <c r="E149" s="43" t="s">
        <v>301</v>
      </c>
      <c r="F149" s="43"/>
      <c r="G149" s="45">
        <f>G150</f>
        <v>20</v>
      </c>
      <c r="H149" s="45">
        <f>H150</f>
        <v>20</v>
      </c>
      <c r="I149" s="45">
        <f>I150</f>
        <v>20</v>
      </c>
    </row>
    <row r="150" spans="1:9" ht="15.75">
      <c r="A150" s="40" t="s">
        <v>110</v>
      </c>
      <c r="B150" s="43" t="s">
        <v>796</v>
      </c>
      <c r="C150" s="43" t="s">
        <v>59</v>
      </c>
      <c r="D150" s="43" t="s">
        <v>65</v>
      </c>
      <c r="E150" s="43" t="s">
        <v>301</v>
      </c>
      <c r="F150" s="43" t="s">
        <v>111</v>
      </c>
      <c r="G150" s="45">
        <v>20</v>
      </c>
      <c r="H150" s="45">
        <v>20</v>
      </c>
      <c r="I150" s="45">
        <v>20</v>
      </c>
    </row>
    <row r="151" spans="1:9" ht="47.25">
      <c r="A151" s="40" t="s">
        <v>114</v>
      </c>
      <c r="B151" s="43" t="s">
        <v>796</v>
      </c>
      <c r="C151" s="43" t="s">
        <v>59</v>
      </c>
      <c r="D151" s="43" t="s">
        <v>65</v>
      </c>
      <c r="E151" s="43" t="s">
        <v>302</v>
      </c>
      <c r="F151" s="43"/>
      <c r="G151" s="45">
        <f>G152</f>
        <v>231</v>
      </c>
      <c r="H151" s="45">
        <f>H152</f>
        <v>231</v>
      </c>
      <c r="I151" s="45">
        <f>I152</f>
        <v>231</v>
      </c>
    </row>
    <row r="152" spans="1:9" ht="15.75">
      <c r="A152" s="40" t="s">
        <v>110</v>
      </c>
      <c r="B152" s="43" t="s">
        <v>796</v>
      </c>
      <c r="C152" s="43" t="s">
        <v>59</v>
      </c>
      <c r="D152" s="43" t="s">
        <v>65</v>
      </c>
      <c r="E152" s="43" t="s">
        <v>302</v>
      </c>
      <c r="F152" s="43" t="s">
        <v>111</v>
      </c>
      <c r="G152" s="45">
        <v>231</v>
      </c>
      <c r="H152" s="45">
        <v>231</v>
      </c>
      <c r="I152" s="45">
        <v>231</v>
      </c>
    </row>
    <row r="153" spans="1:9" ht="47.25">
      <c r="A153" s="40" t="s">
        <v>291</v>
      </c>
      <c r="B153" s="43" t="s">
        <v>796</v>
      </c>
      <c r="C153" s="43" t="s">
        <v>59</v>
      </c>
      <c r="D153" s="43" t="s">
        <v>65</v>
      </c>
      <c r="E153" s="43" t="s">
        <v>306</v>
      </c>
      <c r="F153" s="43"/>
      <c r="G153" s="45">
        <f>G154</f>
        <v>50</v>
      </c>
      <c r="H153" s="45">
        <f>H154</f>
        <v>50</v>
      </c>
      <c r="I153" s="45">
        <f>I154</f>
        <v>50</v>
      </c>
    </row>
    <row r="154" spans="1:9" ht="47.25">
      <c r="A154" s="40" t="s">
        <v>20</v>
      </c>
      <c r="B154" s="43" t="s">
        <v>796</v>
      </c>
      <c r="C154" s="43" t="s">
        <v>59</v>
      </c>
      <c r="D154" s="43" t="s">
        <v>65</v>
      </c>
      <c r="E154" s="43" t="s">
        <v>306</v>
      </c>
      <c r="F154" s="43" t="s">
        <v>100</v>
      </c>
      <c r="G154" s="45">
        <v>50</v>
      </c>
      <c r="H154" s="45">
        <v>50</v>
      </c>
      <c r="I154" s="45">
        <v>50</v>
      </c>
    </row>
    <row r="155" spans="1:9" ht="53.25" customHeight="1">
      <c r="A155" s="37" t="s">
        <v>738</v>
      </c>
      <c r="B155" s="43" t="s">
        <v>796</v>
      </c>
      <c r="C155" s="43" t="s">
        <v>59</v>
      </c>
      <c r="D155" s="43" t="s">
        <v>65</v>
      </c>
      <c r="E155" s="43" t="s">
        <v>132</v>
      </c>
      <c r="F155" s="43"/>
      <c r="G155" s="45">
        <f aca="true" t="shared" si="15" ref="G155:I158">G156</f>
        <v>112</v>
      </c>
      <c r="H155" s="45">
        <f t="shared" si="15"/>
        <v>112</v>
      </c>
      <c r="I155" s="45">
        <f t="shared" si="15"/>
        <v>112</v>
      </c>
    </row>
    <row r="156" spans="1:9" ht="31.5">
      <c r="A156" s="37" t="s">
        <v>233</v>
      </c>
      <c r="B156" s="43" t="s">
        <v>796</v>
      </c>
      <c r="C156" s="43" t="s">
        <v>59</v>
      </c>
      <c r="D156" s="43" t="s">
        <v>65</v>
      </c>
      <c r="E156" s="43" t="s">
        <v>241</v>
      </c>
      <c r="F156" s="43"/>
      <c r="G156" s="45">
        <f t="shared" si="15"/>
        <v>112</v>
      </c>
      <c r="H156" s="45">
        <f t="shared" si="15"/>
        <v>112</v>
      </c>
      <c r="I156" s="45">
        <f t="shared" si="15"/>
        <v>112</v>
      </c>
    </row>
    <row r="157" spans="1:9" ht="78.75">
      <c r="A157" s="40" t="s">
        <v>237</v>
      </c>
      <c r="B157" s="43" t="s">
        <v>796</v>
      </c>
      <c r="C157" s="43" t="s">
        <v>59</v>
      </c>
      <c r="D157" s="43" t="s">
        <v>65</v>
      </c>
      <c r="E157" s="43" t="s">
        <v>239</v>
      </c>
      <c r="F157" s="43"/>
      <c r="G157" s="45">
        <f t="shared" si="15"/>
        <v>112</v>
      </c>
      <c r="H157" s="45">
        <f t="shared" si="15"/>
        <v>112</v>
      </c>
      <c r="I157" s="45">
        <f t="shared" si="15"/>
        <v>112</v>
      </c>
    </row>
    <row r="158" spans="1:9" ht="15.75">
      <c r="A158" s="107" t="s">
        <v>220</v>
      </c>
      <c r="B158" s="43" t="s">
        <v>796</v>
      </c>
      <c r="C158" s="43" t="s">
        <v>59</v>
      </c>
      <c r="D158" s="43" t="s">
        <v>65</v>
      </c>
      <c r="E158" s="43" t="s">
        <v>238</v>
      </c>
      <c r="F158" s="43"/>
      <c r="G158" s="45">
        <f t="shared" si="15"/>
        <v>112</v>
      </c>
      <c r="H158" s="45">
        <f t="shared" si="15"/>
        <v>112</v>
      </c>
      <c r="I158" s="45">
        <f t="shared" si="15"/>
        <v>112</v>
      </c>
    </row>
    <row r="159" spans="1:9" ht="15.75">
      <c r="A159" s="107" t="s">
        <v>146</v>
      </c>
      <c r="B159" s="43" t="s">
        <v>796</v>
      </c>
      <c r="C159" s="43" t="s">
        <v>59</v>
      </c>
      <c r="D159" s="43" t="s">
        <v>65</v>
      </c>
      <c r="E159" s="43" t="s">
        <v>238</v>
      </c>
      <c r="F159" s="43" t="s">
        <v>145</v>
      </c>
      <c r="G159" s="45">
        <v>112</v>
      </c>
      <c r="H159" s="45">
        <v>112</v>
      </c>
      <c r="I159" s="45">
        <v>112</v>
      </c>
    </row>
    <row r="160" spans="1:9" ht="15.75">
      <c r="A160" s="40" t="s">
        <v>187</v>
      </c>
      <c r="B160" s="43" t="s">
        <v>796</v>
      </c>
      <c r="C160" s="43" t="s">
        <v>86</v>
      </c>
      <c r="D160" s="43"/>
      <c r="E160" s="43"/>
      <c r="F160" s="43"/>
      <c r="G160" s="45">
        <f>G161+G190</f>
        <v>2281.3</v>
      </c>
      <c r="H160" s="45">
        <f>H161+H190</f>
        <v>2178.7</v>
      </c>
      <c r="I160" s="45">
        <f>I161+I190</f>
        <v>2178.7</v>
      </c>
    </row>
    <row r="161" spans="1:9" ht="15.75">
      <c r="A161" s="40" t="s">
        <v>189</v>
      </c>
      <c r="B161" s="43" t="s">
        <v>796</v>
      </c>
      <c r="C161" s="43" t="s">
        <v>86</v>
      </c>
      <c r="D161" s="43" t="s">
        <v>54</v>
      </c>
      <c r="E161" s="43"/>
      <c r="F161" s="43"/>
      <c r="G161" s="45">
        <f>G162</f>
        <v>2194</v>
      </c>
      <c r="H161" s="45">
        <f>H162</f>
        <v>2091.3999999999996</v>
      </c>
      <c r="I161" s="45">
        <f>I162</f>
        <v>2091.3999999999996</v>
      </c>
    </row>
    <row r="162" spans="1:9" ht="63">
      <c r="A162" s="40" t="s">
        <v>932</v>
      </c>
      <c r="B162" s="43" t="s">
        <v>796</v>
      </c>
      <c r="C162" s="43" t="s">
        <v>86</v>
      </c>
      <c r="D162" s="43" t="s">
        <v>54</v>
      </c>
      <c r="E162" s="43" t="s">
        <v>369</v>
      </c>
      <c r="F162" s="43"/>
      <c r="G162" s="45">
        <f>G163+G179+G186</f>
        <v>2194</v>
      </c>
      <c r="H162" s="45">
        <f>H163+H179</f>
        <v>2091.3999999999996</v>
      </c>
      <c r="I162" s="45">
        <f>I163+I179</f>
        <v>2091.3999999999996</v>
      </c>
    </row>
    <row r="163" spans="1:9" ht="34.5" customHeight="1">
      <c r="A163" s="40" t="s">
        <v>112</v>
      </c>
      <c r="B163" s="43" t="s">
        <v>796</v>
      </c>
      <c r="C163" s="43" t="s">
        <v>86</v>
      </c>
      <c r="D163" s="43" t="s">
        <v>54</v>
      </c>
      <c r="E163" s="43" t="s">
        <v>156</v>
      </c>
      <c r="F163" s="43"/>
      <c r="G163" s="45">
        <f>G171+G176+G164</f>
        <v>1797</v>
      </c>
      <c r="H163" s="45">
        <f>H171+H176+H164</f>
        <v>1731.3999999999999</v>
      </c>
      <c r="I163" s="45">
        <f>I171+I176+I164</f>
        <v>1731.3999999999999</v>
      </c>
    </row>
    <row r="164" spans="1:9" ht="87" customHeight="1">
      <c r="A164" s="40" t="s">
        <v>702</v>
      </c>
      <c r="B164" s="43" t="s">
        <v>796</v>
      </c>
      <c r="C164" s="43" t="s">
        <v>86</v>
      </c>
      <c r="D164" s="43" t="s">
        <v>54</v>
      </c>
      <c r="E164" s="43" t="s">
        <v>155</v>
      </c>
      <c r="F164" s="43"/>
      <c r="G164" s="45">
        <f>G169+G167+G165</f>
        <v>30.900000000000002</v>
      </c>
      <c r="H164" s="45">
        <f>H169+H167+H165</f>
        <v>27.3</v>
      </c>
      <c r="I164" s="45">
        <f>I169+I167+I165</f>
        <v>27.3</v>
      </c>
    </row>
    <row r="165" spans="1:9" ht="47.25">
      <c r="A165" s="40" t="s">
        <v>114</v>
      </c>
      <c r="B165" s="43" t="s">
        <v>796</v>
      </c>
      <c r="C165" s="43" t="s">
        <v>86</v>
      </c>
      <c r="D165" s="43" t="s">
        <v>54</v>
      </c>
      <c r="E165" s="43" t="s">
        <v>158</v>
      </c>
      <c r="F165" s="43"/>
      <c r="G165" s="45">
        <f>G166</f>
        <v>29.1</v>
      </c>
      <c r="H165" s="45">
        <f>H166</f>
        <v>27.3</v>
      </c>
      <c r="I165" s="45">
        <f>I166</f>
        <v>27.3</v>
      </c>
    </row>
    <row r="166" spans="1:9" ht="15.75">
      <c r="A166" s="40" t="s">
        <v>110</v>
      </c>
      <c r="B166" s="43" t="s">
        <v>796</v>
      </c>
      <c r="C166" s="43" t="s">
        <v>86</v>
      </c>
      <c r="D166" s="43" t="s">
        <v>54</v>
      </c>
      <c r="E166" s="43" t="s">
        <v>158</v>
      </c>
      <c r="F166" s="43" t="s">
        <v>111</v>
      </c>
      <c r="G166" s="45">
        <v>29.1</v>
      </c>
      <c r="H166" s="45">
        <v>27.3</v>
      </c>
      <c r="I166" s="45">
        <v>27.3</v>
      </c>
    </row>
    <row r="167" spans="1:9" ht="63">
      <c r="A167" s="40" t="s">
        <v>462</v>
      </c>
      <c r="B167" s="43" t="s">
        <v>796</v>
      </c>
      <c r="C167" s="43" t="s">
        <v>86</v>
      </c>
      <c r="D167" s="43" t="s">
        <v>54</v>
      </c>
      <c r="E167" s="43" t="s">
        <v>475</v>
      </c>
      <c r="F167" s="43"/>
      <c r="G167" s="45">
        <f>G168</f>
        <v>1.8</v>
      </c>
      <c r="H167" s="45"/>
      <c r="I167" s="45"/>
    </row>
    <row r="168" spans="1:9" ht="15.75">
      <c r="A168" s="40" t="s">
        <v>110</v>
      </c>
      <c r="B168" s="43" t="s">
        <v>796</v>
      </c>
      <c r="C168" s="43" t="s">
        <v>86</v>
      </c>
      <c r="D168" s="43" t="s">
        <v>54</v>
      </c>
      <c r="E168" s="43" t="s">
        <v>475</v>
      </c>
      <c r="F168" s="43" t="s">
        <v>111</v>
      </c>
      <c r="G168" s="45">
        <v>1.8</v>
      </c>
      <c r="H168" s="45"/>
      <c r="I168" s="45"/>
    </row>
    <row r="169" spans="1:9" ht="63" hidden="1">
      <c r="A169" s="40" t="s">
        <v>161</v>
      </c>
      <c r="B169" s="43" t="s">
        <v>796</v>
      </c>
      <c r="C169" s="43" t="s">
        <v>86</v>
      </c>
      <c r="D169" s="43" t="s">
        <v>54</v>
      </c>
      <c r="E169" s="43" t="s">
        <v>159</v>
      </c>
      <c r="F169" s="43"/>
      <c r="G169" s="45">
        <f>G170</f>
        <v>0</v>
      </c>
      <c r="H169" s="45"/>
      <c r="I169" s="45"/>
    </row>
    <row r="170" spans="1:9" ht="15.75" hidden="1">
      <c r="A170" s="40" t="s">
        <v>110</v>
      </c>
      <c r="B170" s="43" t="s">
        <v>796</v>
      </c>
      <c r="C170" s="43" t="s">
        <v>86</v>
      </c>
      <c r="D170" s="43" t="s">
        <v>54</v>
      </c>
      <c r="E170" s="43" t="s">
        <v>159</v>
      </c>
      <c r="F170" s="43" t="s">
        <v>111</v>
      </c>
      <c r="G170" s="45">
        <v>0</v>
      </c>
      <c r="H170" s="45"/>
      <c r="I170" s="45"/>
    </row>
    <row r="171" spans="1:9" ht="84" customHeight="1">
      <c r="A171" s="40" t="s">
        <v>162</v>
      </c>
      <c r="B171" s="43" t="s">
        <v>796</v>
      </c>
      <c r="C171" s="43" t="s">
        <v>86</v>
      </c>
      <c r="D171" s="43" t="s">
        <v>54</v>
      </c>
      <c r="E171" s="43" t="s">
        <v>164</v>
      </c>
      <c r="F171" s="43"/>
      <c r="G171" s="45">
        <f>G172+G174</f>
        <v>1576.1</v>
      </c>
      <c r="H171" s="45">
        <f>H172+H174</f>
        <v>1514.1</v>
      </c>
      <c r="I171" s="45">
        <f>I172+I174</f>
        <v>1514.1</v>
      </c>
    </row>
    <row r="172" spans="1:9" ht="135" customHeight="1">
      <c r="A172" s="40" t="s">
        <v>289</v>
      </c>
      <c r="B172" s="43" t="s">
        <v>796</v>
      </c>
      <c r="C172" s="43" t="s">
        <v>86</v>
      </c>
      <c r="D172" s="43" t="s">
        <v>54</v>
      </c>
      <c r="E172" s="43" t="s">
        <v>163</v>
      </c>
      <c r="F172" s="43"/>
      <c r="G172" s="45">
        <f>G173</f>
        <v>1322.6</v>
      </c>
      <c r="H172" s="45">
        <f>H173</f>
        <v>1260.6</v>
      </c>
      <c r="I172" s="45">
        <f>I173</f>
        <v>1260.6</v>
      </c>
    </row>
    <row r="173" spans="1:9" ht="21" customHeight="1">
      <c r="A173" s="40" t="s">
        <v>110</v>
      </c>
      <c r="B173" s="43" t="s">
        <v>796</v>
      </c>
      <c r="C173" s="43" t="s">
        <v>86</v>
      </c>
      <c r="D173" s="43" t="s">
        <v>54</v>
      </c>
      <c r="E173" s="43" t="s">
        <v>163</v>
      </c>
      <c r="F173" s="43" t="s">
        <v>111</v>
      </c>
      <c r="G173" s="45">
        <v>1322.6</v>
      </c>
      <c r="H173" s="45">
        <v>1260.6</v>
      </c>
      <c r="I173" s="45">
        <v>1260.6</v>
      </c>
    </row>
    <row r="174" spans="1:9" ht="110.25">
      <c r="A174" s="40" t="s">
        <v>617</v>
      </c>
      <c r="B174" s="43" t="s">
        <v>796</v>
      </c>
      <c r="C174" s="43" t="s">
        <v>86</v>
      </c>
      <c r="D174" s="43" t="s">
        <v>54</v>
      </c>
      <c r="E174" s="43" t="s">
        <v>618</v>
      </c>
      <c r="F174" s="43"/>
      <c r="G174" s="45">
        <f>G175</f>
        <v>253.5</v>
      </c>
      <c r="H174" s="45">
        <f>H175</f>
        <v>253.5</v>
      </c>
      <c r="I174" s="45">
        <f>I175</f>
        <v>253.5</v>
      </c>
    </row>
    <row r="175" spans="1:9" ht="15.75">
      <c r="A175" s="40" t="s">
        <v>110</v>
      </c>
      <c r="B175" s="43" t="s">
        <v>796</v>
      </c>
      <c r="C175" s="43" t="s">
        <v>86</v>
      </c>
      <c r="D175" s="43" t="s">
        <v>54</v>
      </c>
      <c r="E175" s="43" t="s">
        <v>618</v>
      </c>
      <c r="F175" s="43" t="s">
        <v>111</v>
      </c>
      <c r="G175" s="45">
        <f>50.7+202.8</f>
        <v>253.5</v>
      </c>
      <c r="H175" s="45">
        <f>50.7+202.8</f>
        <v>253.5</v>
      </c>
      <c r="I175" s="45">
        <f>50.7+202.8</f>
        <v>253.5</v>
      </c>
    </row>
    <row r="176" spans="1:9" ht="69" customHeight="1">
      <c r="A176" s="40" t="s">
        <v>165</v>
      </c>
      <c r="B176" s="43" t="s">
        <v>796</v>
      </c>
      <c r="C176" s="43" t="s">
        <v>86</v>
      </c>
      <c r="D176" s="43" t="s">
        <v>54</v>
      </c>
      <c r="E176" s="43" t="s">
        <v>166</v>
      </c>
      <c r="F176" s="43"/>
      <c r="G176" s="45">
        <f aca="true" t="shared" si="16" ref="G176:I177">G177</f>
        <v>190</v>
      </c>
      <c r="H176" s="45">
        <f t="shared" si="16"/>
        <v>190</v>
      </c>
      <c r="I176" s="45">
        <f t="shared" si="16"/>
        <v>190</v>
      </c>
    </row>
    <row r="177" spans="1:9" ht="114" customHeight="1">
      <c r="A177" s="40" t="s">
        <v>191</v>
      </c>
      <c r="B177" s="43" t="s">
        <v>796</v>
      </c>
      <c r="C177" s="43" t="s">
        <v>86</v>
      </c>
      <c r="D177" s="43" t="s">
        <v>54</v>
      </c>
      <c r="E177" s="43" t="s">
        <v>129</v>
      </c>
      <c r="F177" s="43"/>
      <c r="G177" s="45">
        <f t="shared" si="16"/>
        <v>190</v>
      </c>
      <c r="H177" s="45">
        <f t="shared" si="16"/>
        <v>190</v>
      </c>
      <c r="I177" s="45">
        <f t="shared" si="16"/>
        <v>190</v>
      </c>
    </row>
    <row r="178" spans="1:9" ht="47.25">
      <c r="A178" s="40" t="s">
        <v>221</v>
      </c>
      <c r="B178" s="43" t="s">
        <v>796</v>
      </c>
      <c r="C178" s="43" t="s">
        <v>86</v>
      </c>
      <c r="D178" s="43" t="s">
        <v>54</v>
      </c>
      <c r="E178" s="43" t="s">
        <v>129</v>
      </c>
      <c r="F178" s="43" t="s">
        <v>222</v>
      </c>
      <c r="G178" s="45">
        <v>190</v>
      </c>
      <c r="H178" s="45">
        <v>190</v>
      </c>
      <c r="I178" s="45">
        <v>190</v>
      </c>
    </row>
    <row r="179" spans="1:9" ht="102.75" customHeight="1">
      <c r="A179" s="40" t="s">
        <v>108</v>
      </c>
      <c r="B179" s="43" t="s">
        <v>796</v>
      </c>
      <c r="C179" s="43" t="s">
        <v>86</v>
      </c>
      <c r="D179" s="43" t="s">
        <v>54</v>
      </c>
      <c r="E179" s="43" t="s">
        <v>151</v>
      </c>
      <c r="F179" s="43"/>
      <c r="G179" s="45">
        <f>G183+G180</f>
        <v>360</v>
      </c>
      <c r="H179" s="45">
        <f>H183</f>
        <v>360</v>
      </c>
      <c r="I179" s="45">
        <f>I183</f>
        <v>360</v>
      </c>
    </row>
    <row r="180" spans="1:9" ht="63" hidden="1">
      <c r="A180" s="40" t="s">
        <v>152</v>
      </c>
      <c r="B180" s="43" t="s">
        <v>796</v>
      </c>
      <c r="C180" s="43" t="s">
        <v>86</v>
      </c>
      <c r="D180" s="43" t="s">
        <v>54</v>
      </c>
      <c r="E180" s="43" t="s">
        <v>153</v>
      </c>
      <c r="F180" s="43"/>
      <c r="G180" s="45">
        <f>G181</f>
        <v>0</v>
      </c>
      <c r="H180" s="45"/>
      <c r="I180" s="45"/>
    </row>
    <row r="181" spans="1:9" ht="63" hidden="1">
      <c r="A181" s="40" t="s">
        <v>161</v>
      </c>
      <c r="B181" s="43" t="s">
        <v>796</v>
      </c>
      <c r="C181" s="43" t="s">
        <v>86</v>
      </c>
      <c r="D181" s="43" t="s">
        <v>54</v>
      </c>
      <c r="E181" s="43" t="s">
        <v>160</v>
      </c>
      <c r="F181" s="43"/>
      <c r="G181" s="45">
        <f>G182</f>
        <v>0</v>
      </c>
      <c r="H181" s="45"/>
      <c r="I181" s="45"/>
    </row>
    <row r="182" spans="1:9" ht="18.75" customHeight="1" hidden="1">
      <c r="A182" s="40" t="s">
        <v>110</v>
      </c>
      <c r="B182" s="43" t="s">
        <v>796</v>
      </c>
      <c r="C182" s="43" t="s">
        <v>86</v>
      </c>
      <c r="D182" s="43" t="s">
        <v>54</v>
      </c>
      <c r="E182" s="43" t="s">
        <v>160</v>
      </c>
      <c r="F182" s="43" t="s">
        <v>111</v>
      </c>
      <c r="G182" s="45">
        <v>0</v>
      </c>
      <c r="H182" s="45"/>
      <c r="I182" s="45"/>
    </row>
    <row r="183" spans="1:9" ht="62.25" customHeight="1">
      <c r="A183" s="40" t="s">
        <v>165</v>
      </c>
      <c r="B183" s="43" t="s">
        <v>796</v>
      </c>
      <c r="C183" s="43" t="s">
        <v>86</v>
      </c>
      <c r="D183" s="43" t="s">
        <v>54</v>
      </c>
      <c r="E183" s="43" t="s">
        <v>130</v>
      </c>
      <c r="F183" s="43"/>
      <c r="G183" s="45">
        <f aca="true" t="shared" si="17" ref="G183:I184">G184</f>
        <v>360</v>
      </c>
      <c r="H183" s="45">
        <f t="shared" si="17"/>
        <v>360</v>
      </c>
      <c r="I183" s="45">
        <f t="shared" si="17"/>
        <v>360</v>
      </c>
    </row>
    <row r="184" spans="1:9" ht="114" customHeight="1">
      <c r="A184" s="40" t="s">
        <v>190</v>
      </c>
      <c r="B184" s="43" t="s">
        <v>796</v>
      </c>
      <c r="C184" s="43" t="s">
        <v>86</v>
      </c>
      <c r="D184" s="43" t="s">
        <v>54</v>
      </c>
      <c r="E184" s="43" t="s">
        <v>131</v>
      </c>
      <c r="F184" s="43"/>
      <c r="G184" s="45">
        <f t="shared" si="17"/>
        <v>360</v>
      </c>
      <c r="H184" s="45">
        <f t="shared" si="17"/>
        <v>360</v>
      </c>
      <c r="I184" s="45">
        <f t="shared" si="17"/>
        <v>360</v>
      </c>
    </row>
    <row r="185" spans="1:9" ht="52.5" customHeight="1">
      <c r="A185" s="40" t="s">
        <v>221</v>
      </c>
      <c r="B185" s="43" t="s">
        <v>796</v>
      </c>
      <c r="C185" s="43" t="s">
        <v>86</v>
      </c>
      <c r="D185" s="43" t="s">
        <v>54</v>
      </c>
      <c r="E185" s="43" t="s">
        <v>131</v>
      </c>
      <c r="F185" s="43" t="s">
        <v>222</v>
      </c>
      <c r="G185" s="45">
        <v>360</v>
      </c>
      <c r="H185" s="45">
        <v>360</v>
      </c>
      <c r="I185" s="45">
        <v>360</v>
      </c>
    </row>
    <row r="186" spans="1:9" ht="94.5">
      <c r="A186" s="37" t="s">
        <v>835</v>
      </c>
      <c r="B186" s="43" t="s">
        <v>796</v>
      </c>
      <c r="C186" s="43" t="s">
        <v>86</v>
      </c>
      <c r="D186" s="43" t="s">
        <v>54</v>
      </c>
      <c r="E186" s="43" t="s">
        <v>127</v>
      </c>
      <c r="F186" s="43"/>
      <c r="G186" s="45">
        <f>G187</f>
        <v>37</v>
      </c>
      <c r="H186" s="45"/>
      <c r="I186" s="45"/>
    </row>
    <row r="187" spans="1:9" ht="63">
      <c r="A187" s="37" t="s">
        <v>708</v>
      </c>
      <c r="B187" s="43" t="s">
        <v>796</v>
      </c>
      <c r="C187" s="43" t="s">
        <v>86</v>
      </c>
      <c r="D187" s="43" t="s">
        <v>54</v>
      </c>
      <c r="E187" s="43" t="s">
        <v>128</v>
      </c>
      <c r="F187" s="43"/>
      <c r="G187" s="45">
        <f>G188</f>
        <v>37</v>
      </c>
      <c r="H187" s="45"/>
      <c r="I187" s="45"/>
    </row>
    <row r="188" spans="1:9" ht="52.5" customHeight="1">
      <c r="A188" s="124" t="s">
        <v>358</v>
      </c>
      <c r="B188" s="43" t="s">
        <v>796</v>
      </c>
      <c r="C188" s="43" t="s">
        <v>86</v>
      </c>
      <c r="D188" s="43" t="s">
        <v>54</v>
      </c>
      <c r="E188" s="43" t="s">
        <v>349</v>
      </c>
      <c r="F188" s="43"/>
      <c r="G188" s="45">
        <f>G189</f>
        <v>37</v>
      </c>
      <c r="H188" s="45"/>
      <c r="I188" s="45"/>
    </row>
    <row r="189" spans="1:9" ht="52.5" customHeight="1">
      <c r="A189" s="40" t="s">
        <v>221</v>
      </c>
      <c r="B189" s="43" t="s">
        <v>796</v>
      </c>
      <c r="C189" s="43" t="s">
        <v>86</v>
      </c>
      <c r="D189" s="43" t="s">
        <v>54</v>
      </c>
      <c r="E189" s="43" t="s">
        <v>349</v>
      </c>
      <c r="F189" s="43" t="s">
        <v>222</v>
      </c>
      <c r="G189" s="45">
        <v>37</v>
      </c>
      <c r="H189" s="45"/>
      <c r="I189" s="45"/>
    </row>
    <row r="190" spans="1:9" ht="15.75">
      <c r="A190" s="40" t="s">
        <v>89</v>
      </c>
      <c r="B190" s="43" t="s">
        <v>796</v>
      </c>
      <c r="C190" s="43" t="s">
        <v>86</v>
      </c>
      <c r="D190" s="43" t="s">
        <v>56</v>
      </c>
      <c r="E190" s="43"/>
      <c r="F190" s="43"/>
      <c r="G190" s="45">
        <f aca="true" t="shared" si="18" ref="G190:I192">G191</f>
        <v>87.3</v>
      </c>
      <c r="H190" s="45">
        <f t="shared" si="18"/>
        <v>87.3</v>
      </c>
      <c r="I190" s="45">
        <f t="shared" si="18"/>
        <v>87.3</v>
      </c>
    </row>
    <row r="191" spans="1:9" ht="63">
      <c r="A191" s="40" t="s">
        <v>932</v>
      </c>
      <c r="B191" s="43" t="s">
        <v>796</v>
      </c>
      <c r="C191" s="43" t="s">
        <v>86</v>
      </c>
      <c r="D191" s="43" t="s">
        <v>56</v>
      </c>
      <c r="E191" s="43" t="s">
        <v>369</v>
      </c>
      <c r="F191" s="43"/>
      <c r="G191" s="45">
        <f t="shared" si="18"/>
        <v>87.3</v>
      </c>
      <c r="H191" s="45">
        <f t="shared" si="18"/>
        <v>87.3</v>
      </c>
      <c r="I191" s="45">
        <f t="shared" si="18"/>
        <v>87.3</v>
      </c>
    </row>
    <row r="192" spans="1:9" ht="101.25" customHeight="1">
      <c r="A192" s="40" t="s">
        <v>108</v>
      </c>
      <c r="B192" s="43" t="s">
        <v>796</v>
      </c>
      <c r="C192" s="43" t="s">
        <v>86</v>
      </c>
      <c r="D192" s="43" t="s">
        <v>56</v>
      </c>
      <c r="E192" s="43" t="s">
        <v>151</v>
      </c>
      <c r="F192" s="43"/>
      <c r="G192" s="45">
        <f>G193</f>
        <v>87.3</v>
      </c>
      <c r="H192" s="45">
        <f t="shared" si="18"/>
        <v>87.3</v>
      </c>
      <c r="I192" s="45">
        <f t="shared" si="18"/>
        <v>87.3</v>
      </c>
    </row>
    <row r="193" spans="1:9" ht="63">
      <c r="A193" s="40" t="s">
        <v>152</v>
      </c>
      <c r="B193" s="43" t="s">
        <v>796</v>
      </c>
      <c r="C193" s="43" t="s">
        <v>86</v>
      </c>
      <c r="D193" s="43" t="s">
        <v>56</v>
      </c>
      <c r="E193" s="43" t="s">
        <v>153</v>
      </c>
      <c r="F193" s="43"/>
      <c r="G193" s="45">
        <f>G194+G196</f>
        <v>87.3</v>
      </c>
      <c r="H193" s="45">
        <f>H194+H196</f>
        <v>87.3</v>
      </c>
      <c r="I193" s="45">
        <f>I194+I196</f>
        <v>87.3</v>
      </c>
    </row>
    <row r="194" spans="1:9" ht="15.75">
      <c r="A194" s="40" t="s">
        <v>109</v>
      </c>
      <c r="B194" s="43" t="s">
        <v>796</v>
      </c>
      <c r="C194" s="43" t="s">
        <v>86</v>
      </c>
      <c r="D194" s="43" t="s">
        <v>56</v>
      </c>
      <c r="E194" s="43" t="s">
        <v>154</v>
      </c>
      <c r="F194" s="43"/>
      <c r="G194" s="45">
        <f>G195</f>
        <v>60</v>
      </c>
      <c r="H194" s="45">
        <f>H195</f>
        <v>60</v>
      </c>
      <c r="I194" s="45">
        <f>I195</f>
        <v>60</v>
      </c>
    </row>
    <row r="195" spans="1:9" ht="15.75">
      <c r="A195" s="40" t="s">
        <v>110</v>
      </c>
      <c r="B195" s="43" t="s">
        <v>796</v>
      </c>
      <c r="C195" s="43" t="s">
        <v>86</v>
      </c>
      <c r="D195" s="43" t="s">
        <v>56</v>
      </c>
      <c r="E195" s="43" t="s">
        <v>154</v>
      </c>
      <c r="F195" s="43" t="s">
        <v>111</v>
      </c>
      <c r="G195" s="45">
        <v>60</v>
      </c>
      <c r="H195" s="45">
        <v>60</v>
      </c>
      <c r="I195" s="45">
        <v>60</v>
      </c>
    </row>
    <row r="196" spans="1:9" ht="47.25">
      <c r="A196" s="40" t="s">
        <v>114</v>
      </c>
      <c r="B196" s="43" t="s">
        <v>796</v>
      </c>
      <c r="C196" s="43" t="s">
        <v>86</v>
      </c>
      <c r="D196" s="43" t="s">
        <v>56</v>
      </c>
      <c r="E196" s="43" t="s">
        <v>292</v>
      </c>
      <c r="F196" s="43"/>
      <c r="G196" s="45">
        <f>G197</f>
        <v>27.3</v>
      </c>
      <c r="H196" s="45">
        <f>H197</f>
        <v>27.3</v>
      </c>
      <c r="I196" s="45">
        <f>I197</f>
        <v>27.3</v>
      </c>
    </row>
    <row r="197" spans="1:9" ht="15.75">
      <c r="A197" s="40" t="s">
        <v>110</v>
      </c>
      <c r="B197" s="43" t="s">
        <v>796</v>
      </c>
      <c r="C197" s="43" t="s">
        <v>86</v>
      </c>
      <c r="D197" s="43" t="s">
        <v>56</v>
      </c>
      <c r="E197" s="43" t="s">
        <v>292</v>
      </c>
      <c r="F197" s="43" t="s">
        <v>111</v>
      </c>
      <c r="G197" s="45">
        <v>27.3</v>
      </c>
      <c r="H197" s="45">
        <v>27.3</v>
      </c>
      <c r="I197" s="45">
        <v>27.3</v>
      </c>
    </row>
    <row r="198" spans="1:9" ht="15.75">
      <c r="A198" s="40" t="s">
        <v>90</v>
      </c>
      <c r="B198" s="43" t="s">
        <v>796</v>
      </c>
      <c r="C198" s="43" t="s">
        <v>61</v>
      </c>
      <c r="D198" s="43"/>
      <c r="E198" s="43"/>
      <c r="F198" s="43"/>
      <c r="G198" s="45">
        <f>G205+G199</f>
        <v>1139</v>
      </c>
      <c r="H198" s="45">
        <f>H205</f>
        <v>466</v>
      </c>
      <c r="I198" s="45">
        <f>I205</f>
        <v>466</v>
      </c>
    </row>
    <row r="199" spans="1:9" ht="15.75">
      <c r="A199" s="25" t="s">
        <v>91</v>
      </c>
      <c r="B199" s="43" t="s">
        <v>796</v>
      </c>
      <c r="C199" s="43" t="s">
        <v>61</v>
      </c>
      <c r="D199" s="43" t="s">
        <v>52</v>
      </c>
      <c r="E199" s="43"/>
      <c r="F199" s="43"/>
      <c r="G199" s="45">
        <f>G200</f>
        <v>500</v>
      </c>
      <c r="H199" s="45"/>
      <c r="I199" s="45"/>
    </row>
    <row r="200" spans="1:9" ht="78.75">
      <c r="A200" s="40" t="s">
        <v>770</v>
      </c>
      <c r="B200" s="43" t="s">
        <v>796</v>
      </c>
      <c r="C200" s="43" t="s">
        <v>61</v>
      </c>
      <c r="D200" s="43" t="s">
        <v>52</v>
      </c>
      <c r="E200" s="44" t="s">
        <v>149</v>
      </c>
      <c r="F200" s="43"/>
      <c r="G200" s="45">
        <f>G201</f>
        <v>500</v>
      </c>
      <c r="H200" s="45"/>
      <c r="I200" s="45"/>
    </row>
    <row r="201" spans="1:9" ht="47.25">
      <c r="A201" s="40" t="s">
        <v>309</v>
      </c>
      <c r="B201" s="43" t="s">
        <v>796</v>
      </c>
      <c r="C201" s="43" t="s">
        <v>61</v>
      </c>
      <c r="D201" s="43" t="s">
        <v>52</v>
      </c>
      <c r="E201" s="44" t="s">
        <v>311</v>
      </c>
      <c r="F201" s="43"/>
      <c r="G201" s="45">
        <f>G202</f>
        <v>500</v>
      </c>
      <c r="H201" s="45"/>
      <c r="I201" s="45"/>
    </row>
    <row r="202" spans="1:9" ht="110.25">
      <c r="A202" s="40" t="s">
        <v>413</v>
      </c>
      <c r="B202" s="43" t="s">
        <v>796</v>
      </c>
      <c r="C202" s="43" t="s">
        <v>61</v>
      </c>
      <c r="D202" s="43" t="s">
        <v>52</v>
      </c>
      <c r="E202" s="44" t="s">
        <v>412</v>
      </c>
      <c r="F202" s="43"/>
      <c r="G202" s="45">
        <f>G203</f>
        <v>500</v>
      </c>
      <c r="H202" s="45"/>
      <c r="I202" s="45"/>
    </row>
    <row r="203" spans="1:9" ht="47.25">
      <c r="A203" s="40" t="s">
        <v>114</v>
      </c>
      <c r="B203" s="43" t="s">
        <v>796</v>
      </c>
      <c r="C203" s="43" t="s">
        <v>61</v>
      </c>
      <c r="D203" s="43" t="s">
        <v>52</v>
      </c>
      <c r="E203" s="44" t="s">
        <v>1019</v>
      </c>
      <c r="F203" s="43"/>
      <c r="G203" s="45">
        <f>G204</f>
        <v>500</v>
      </c>
      <c r="H203" s="45"/>
      <c r="I203" s="45"/>
    </row>
    <row r="204" spans="1:9" ht="15.75">
      <c r="A204" s="40" t="s">
        <v>110</v>
      </c>
      <c r="B204" s="43" t="s">
        <v>796</v>
      </c>
      <c r="C204" s="43" t="s">
        <v>61</v>
      </c>
      <c r="D204" s="43" t="s">
        <v>52</v>
      </c>
      <c r="E204" s="44" t="s">
        <v>1019</v>
      </c>
      <c r="F204" s="43" t="s">
        <v>111</v>
      </c>
      <c r="G204" s="45">
        <v>500</v>
      </c>
      <c r="H204" s="45"/>
      <c r="I204" s="45"/>
    </row>
    <row r="205" spans="1:9" ht="15.75">
      <c r="A205" s="40" t="s">
        <v>446</v>
      </c>
      <c r="B205" s="43" t="s">
        <v>796</v>
      </c>
      <c r="C205" s="43" t="s">
        <v>61</v>
      </c>
      <c r="D205" s="43" t="s">
        <v>54</v>
      </c>
      <c r="E205" s="43"/>
      <c r="F205" s="43"/>
      <c r="G205" s="45">
        <f aca="true" t="shared" si="19" ref="G205:I206">G206</f>
        <v>639</v>
      </c>
      <c r="H205" s="45">
        <f t="shared" si="19"/>
        <v>466</v>
      </c>
      <c r="I205" s="45">
        <f t="shared" si="19"/>
        <v>466</v>
      </c>
    </row>
    <row r="206" spans="1:9" ht="63">
      <c r="A206" s="40" t="s">
        <v>932</v>
      </c>
      <c r="B206" s="43" t="s">
        <v>796</v>
      </c>
      <c r="C206" s="43" t="s">
        <v>61</v>
      </c>
      <c r="D206" s="43" t="s">
        <v>54</v>
      </c>
      <c r="E206" s="43" t="s">
        <v>369</v>
      </c>
      <c r="F206" s="43"/>
      <c r="G206" s="45">
        <f t="shared" si="19"/>
        <v>639</v>
      </c>
      <c r="H206" s="45">
        <f t="shared" si="19"/>
        <v>466</v>
      </c>
      <c r="I206" s="45">
        <f t="shared" si="19"/>
        <v>466</v>
      </c>
    </row>
    <row r="207" spans="1:9" ht="31.5">
      <c r="A207" s="40" t="s">
        <v>447</v>
      </c>
      <c r="B207" s="43" t="s">
        <v>796</v>
      </c>
      <c r="C207" s="43" t="s">
        <v>61</v>
      </c>
      <c r="D207" s="43" t="s">
        <v>54</v>
      </c>
      <c r="E207" s="43" t="s">
        <v>703</v>
      </c>
      <c r="F207" s="43"/>
      <c r="G207" s="45">
        <f>G208+G211</f>
        <v>639</v>
      </c>
      <c r="H207" s="45">
        <f>H208+H211</f>
        <v>466</v>
      </c>
      <c r="I207" s="45">
        <f>I208+I211</f>
        <v>466</v>
      </c>
    </row>
    <row r="208" spans="1:9" ht="47.25">
      <c r="A208" s="40" t="s">
        <v>448</v>
      </c>
      <c r="B208" s="43" t="s">
        <v>796</v>
      </c>
      <c r="C208" s="43" t="s">
        <v>61</v>
      </c>
      <c r="D208" s="43" t="s">
        <v>54</v>
      </c>
      <c r="E208" s="43" t="s">
        <v>704</v>
      </c>
      <c r="F208" s="43"/>
      <c r="G208" s="45">
        <f aca="true" t="shared" si="20" ref="G208:I209">G209</f>
        <v>639</v>
      </c>
      <c r="H208" s="45">
        <f t="shared" si="20"/>
        <v>466</v>
      </c>
      <c r="I208" s="45">
        <f t="shared" si="20"/>
        <v>466</v>
      </c>
    </row>
    <row r="209" spans="1:9" ht="31.5">
      <c r="A209" s="40" t="s">
        <v>113</v>
      </c>
      <c r="B209" s="43" t="s">
        <v>796</v>
      </c>
      <c r="C209" s="43" t="s">
        <v>61</v>
      </c>
      <c r="D209" s="43" t="s">
        <v>54</v>
      </c>
      <c r="E209" s="43" t="s">
        <v>705</v>
      </c>
      <c r="F209" s="43"/>
      <c r="G209" s="45">
        <f t="shared" si="20"/>
        <v>639</v>
      </c>
      <c r="H209" s="45">
        <f t="shared" si="20"/>
        <v>466</v>
      </c>
      <c r="I209" s="45">
        <f t="shared" si="20"/>
        <v>466</v>
      </c>
    </row>
    <row r="210" spans="1:9" ht="15.75">
      <c r="A210" s="40" t="s">
        <v>110</v>
      </c>
      <c r="B210" s="43" t="s">
        <v>796</v>
      </c>
      <c r="C210" s="43" t="s">
        <v>61</v>
      </c>
      <c r="D210" s="43" t="s">
        <v>54</v>
      </c>
      <c r="E210" s="43" t="s">
        <v>705</v>
      </c>
      <c r="F210" s="43" t="s">
        <v>111</v>
      </c>
      <c r="G210" s="45">
        <v>639</v>
      </c>
      <c r="H210" s="45">
        <v>466</v>
      </c>
      <c r="I210" s="45">
        <v>466</v>
      </c>
    </row>
    <row r="211" spans="1:9" ht="63" hidden="1">
      <c r="A211" s="40" t="s">
        <v>449</v>
      </c>
      <c r="B211" s="43" t="s">
        <v>796</v>
      </c>
      <c r="C211" s="43" t="s">
        <v>61</v>
      </c>
      <c r="D211" s="43" t="s">
        <v>54</v>
      </c>
      <c r="E211" s="43" t="s">
        <v>706</v>
      </c>
      <c r="F211" s="43"/>
      <c r="G211" s="45">
        <f aca="true" t="shared" si="21" ref="G211:I212">G212</f>
        <v>0</v>
      </c>
      <c r="H211" s="45">
        <f t="shared" si="21"/>
        <v>0</v>
      </c>
      <c r="I211" s="45">
        <f t="shared" si="21"/>
        <v>0</v>
      </c>
    </row>
    <row r="212" spans="1:9" ht="31.5" hidden="1">
      <c r="A212" s="40" t="s">
        <v>113</v>
      </c>
      <c r="B212" s="43" t="s">
        <v>796</v>
      </c>
      <c r="C212" s="43" t="s">
        <v>61</v>
      </c>
      <c r="D212" s="43" t="s">
        <v>54</v>
      </c>
      <c r="E212" s="43" t="s">
        <v>707</v>
      </c>
      <c r="F212" s="43"/>
      <c r="G212" s="45">
        <f t="shared" si="21"/>
        <v>0</v>
      </c>
      <c r="H212" s="45">
        <f t="shared" si="21"/>
        <v>0</v>
      </c>
      <c r="I212" s="45">
        <f t="shared" si="21"/>
        <v>0</v>
      </c>
    </row>
    <row r="213" spans="1:9" ht="15.75" hidden="1">
      <c r="A213" s="40" t="s">
        <v>110</v>
      </c>
      <c r="B213" s="43" t="s">
        <v>796</v>
      </c>
      <c r="C213" s="43" t="s">
        <v>61</v>
      </c>
      <c r="D213" s="43" t="s">
        <v>54</v>
      </c>
      <c r="E213" s="43" t="s">
        <v>707</v>
      </c>
      <c r="F213" s="43" t="s">
        <v>111</v>
      </c>
      <c r="G213" s="45">
        <v>0</v>
      </c>
      <c r="H213" s="45">
        <v>0</v>
      </c>
      <c r="I213" s="45">
        <v>0</v>
      </c>
    </row>
    <row r="214" spans="1:9" ht="52.5" customHeight="1">
      <c r="A214" s="50" t="s">
        <v>975</v>
      </c>
      <c r="B214" s="46" t="s">
        <v>765</v>
      </c>
      <c r="C214" s="46"/>
      <c r="D214" s="46"/>
      <c r="E214" s="46"/>
      <c r="F214" s="46"/>
      <c r="G214" s="93">
        <f>G215+G226</f>
        <v>2107</v>
      </c>
      <c r="H214" s="93">
        <f>H215+H226</f>
        <v>2050</v>
      </c>
      <c r="I214" s="93">
        <f>I215+I226</f>
        <v>1900</v>
      </c>
    </row>
    <row r="215" spans="1:9" ht="21" customHeight="1">
      <c r="A215" s="40" t="s">
        <v>50</v>
      </c>
      <c r="B215" s="43" t="s">
        <v>765</v>
      </c>
      <c r="C215" s="43" t="s">
        <v>51</v>
      </c>
      <c r="D215" s="43"/>
      <c r="E215" s="43"/>
      <c r="F215" s="43"/>
      <c r="G215" s="45">
        <f>G216</f>
        <v>2097</v>
      </c>
      <c r="H215" s="45">
        <f>H216</f>
        <v>2040</v>
      </c>
      <c r="I215" s="45">
        <f>I216</f>
        <v>1890</v>
      </c>
    </row>
    <row r="216" spans="1:9" ht="80.25" customHeight="1">
      <c r="A216" s="124" t="s">
        <v>98</v>
      </c>
      <c r="B216" s="43" t="s">
        <v>765</v>
      </c>
      <c r="C216" s="43" t="s">
        <v>51</v>
      </c>
      <c r="D216" s="43" t="s">
        <v>54</v>
      </c>
      <c r="E216" s="43"/>
      <c r="F216" s="43"/>
      <c r="G216" s="45">
        <f aca="true" t="shared" si="22" ref="G216:I218">G217</f>
        <v>2097</v>
      </c>
      <c r="H216" s="45">
        <f t="shared" si="22"/>
        <v>2040</v>
      </c>
      <c r="I216" s="45">
        <f t="shared" si="22"/>
        <v>1890</v>
      </c>
    </row>
    <row r="217" spans="1:9" ht="80.25" customHeight="1">
      <c r="A217" s="40" t="s">
        <v>687</v>
      </c>
      <c r="B217" s="43" t="s">
        <v>765</v>
      </c>
      <c r="C217" s="43" t="s">
        <v>51</v>
      </c>
      <c r="D217" s="43" t="s">
        <v>54</v>
      </c>
      <c r="E217" s="43" t="s">
        <v>566</v>
      </c>
      <c r="F217" s="43"/>
      <c r="G217" s="45">
        <f t="shared" si="22"/>
        <v>2097</v>
      </c>
      <c r="H217" s="45">
        <f t="shared" si="22"/>
        <v>2040</v>
      </c>
      <c r="I217" s="45">
        <f t="shared" si="22"/>
        <v>1890</v>
      </c>
    </row>
    <row r="218" spans="1:9" ht="63">
      <c r="A218" s="40" t="s">
        <v>690</v>
      </c>
      <c r="B218" s="43" t="s">
        <v>765</v>
      </c>
      <c r="C218" s="43" t="s">
        <v>51</v>
      </c>
      <c r="D218" s="43" t="s">
        <v>54</v>
      </c>
      <c r="E218" s="43" t="s">
        <v>579</v>
      </c>
      <c r="F218" s="43"/>
      <c r="G218" s="45">
        <f t="shared" si="22"/>
        <v>2097</v>
      </c>
      <c r="H218" s="45">
        <f t="shared" si="22"/>
        <v>2040</v>
      </c>
      <c r="I218" s="45">
        <f t="shared" si="22"/>
        <v>1890</v>
      </c>
    </row>
    <row r="219" spans="1:9" ht="63">
      <c r="A219" s="40" t="s">
        <v>691</v>
      </c>
      <c r="B219" s="43" t="s">
        <v>765</v>
      </c>
      <c r="C219" s="43" t="s">
        <v>51</v>
      </c>
      <c r="D219" s="43" t="s">
        <v>54</v>
      </c>
      <c r="E219" s="43" t="s">
        <v>586</v>
      </c>
      <c r="F219" s="43"/>
      <c r="G219" s="45">
        <f>G220+G224</f>
        <v>2097</v>
      </c>
      <c r="H219" s="45">
        <f>H220+H224</f>
        <v>2040</v>
      </c>
      <c r="I219" s="45">
        <f>I220+I224</f>
        <v>1890</v>
      </c>
    </row>
    <row r="220" spans="1:9" ht="31.5">
      <c r="A220" s="40" t="s">
        <v>99</v>
      </c>
      <c r="B220" s="43" t="s">
        <v>765</v>
      </c>
      <c r="C220" s="43" t="s">
        <v>51</v>
      </c>
      <c r="D220" s="43" t="s">
        <v>54</v>
      </c>
      <c r="E220" s="42" t="s">
        <v>591</v>
      </c>
      <c r="F220" s="43"/>
      <c r="G220" s="45">
        <f>G221+G222+G223</f>
        <v>1749.5</v>
      </c>
      <c r="H220" s="45">
        <f>H221+H222+H223</f>
        <v>1692.5</v>
      </c>
      <c r="I220" s="45">
        <f>I221+I222+I223</f>
        <v>1542.5</v>
      </c>
    </row>
    <row r="221" spans="1:9" ht="36.75" customHeight="1">
      <c r="A221" s="40" t="s">
        <v>96</v>
      </c>
      <c r="B221" s="43" t="s">
        <v>765</v>
      </c>
      <c r="C221" s="43" t="s">
        <v>51</v>
      </c>
      <c r="D221" s="43" t="s">
        <v>54</v>
      </c>
      <c r="E221" s="42" t="s">
        <v>591</v>
      </c>
      <c r="F221" s="43" t="s">
        <v>97</v>
      </c>
      <c r="G221" s="45">
        <f>1748-347.5</f>
        <v>1400.5</v>
      </c>
      <c r="H221" s="45">
        <f>1748-347.5</f>
        <v>1400.5</v>
      </c>
      <c r="I221" s="45">
        <f>1748-347.5</f>
        <v>1400.5</v>
      </c>
    </row>
    <row r="222" spans="1:9" ht="33" customHeight="1">
      <c r="A222" s="40" t="s">
        <v>20</v>
      </c>
      <c r="B222" s="43" t="s">
        <v>765</v>
      </c>
      <c r="C222" s="43" t="s">
        <v>51</v>
      </c>
      <c r="D222" s="43" t="s">
        <v>54</v>
      </c>
      <c r="E222" s="42" t="s">
        <v>591</v>
      </c>
      <c r="F222" s="43" t="s">
        <v>100</v>
      </c>
      <c r="G222" s="45">
        <v>345</v>
      </c>
      <c r="H222" s="45">
        <f>292</f>
        <v>292</v>
      </c>
      <c r="I222" s="45">
        <f>292-150</f>
        <v>142</v>
      </c>
    </row>
    <row r="223" spans="1:9" ht="31.5">
      <c r="A223" s="40" t="s">
        <v>21</v>
      </c>
      <c r="B223" s="43" t="s">
        <v>765</v>
      </c>
      <c r="C223" s="43" t="s">
        <v>51</v>
      </c>
      <c r="D223" s="43" t="s">
        <v>54</v>
      </c>
      <c r="E223" s="42" t="s">
        <v>591</v>
      </c>
      <c r="F223" s="43" t="s">
        <v>101</v>
      </c>
      <c r="G223" s="45">
        <v>4</v>
      </c>
      <c r="H223" s="45">
        <v>0</v>
      </c>
      <c r="I223" s="45">
        <v>0</v>
      </c>
    </row>
    <row r="224" spans="1:9" ht="63">
      <c r="A224" s="40" t="s">
        <v>462</v>
      </c>
      <c r="B224" s="43" t="s">
        <v>765</v>
      </c>
      <c r="C224" s="43" t="s">
        <v>51</v>
      </c>
      <c r="D224" s="43" t="s">
        <v>54</v>
      </c>
      <c r="E224" s="43" t="s">
        <v>592</v>
      </c>
      <c r="F224" s="43"/>
      <c r="G224" s="59">
        <f>G225</f>
        <v>347.5</v>
      </c>
      <c r="H224" s="59">
        <f>H225</f>
        <v>347.5</v>
      </c>
      <c r="I224" s="59">
        <f>I225</f>
        <v>347.5</v>
      </c>
    </row>
    <row r="225" spans="1:9" ht="47.25">
      <c r="A225" s="37" t="s">
        <v>96</v>
      </c>
      <c r="B225" s="43" t="s">
        <v>765</v>
      </c>
      <c r="C225" s="43" t="s">
        <v>51</v>
      </c>
      <c r="D225" s="43" t="s">
        <v>54</v>
      </c>
      <c r="E225" s="43" t="s">
        <v>592</v>
      </c>
      <c r="F225" s="43" t="s">
        <v>97</v>
      </c>
      <c r="G225" s="59">
        <f>547.5-200</f>
        <v>347.5</v>
      </c>
      <c r="H225" s="59">
        <f>547.5-200</f>
        <v>347.5</v>
      </c>
      <c r="I225" s="59">
        <f>547.5-200</f>
        <v>347.5</v>
      </c>
    </row>
    <row r="226" spans="1:9" ht="15.75">
      <c r="A226" s="40" t="s">
        <v>76</v>
      </c>
      <c r="B226" s="43" t="s">
        <v>765</v>
      </c>
      <c r="C226" s="43" t="s">
        <v>59</v>
      </c>
      <c r="D226" s="43"/>
      <c r="E226" s="43"/>
      <c r="F226" s="43"/>
      <c r="G226" s="59">
        <f aca="true" t="shared" si="23" ref="G226:I231">G227</f>
        <v>10</v>
      </c>
      <c r="H226" s="59">
        <f t="shared" si="23"/>
        <v>10</v>
      </c>
      <c r="I226" s="59">
        <f t="shared" si="23"/>
        <v>10</v>
      </c>
    </row>
    <row r="227" spans="1:9" ht="47.25">
      <c r="A227" s="128" t="s">
        <v>520</v>
      </c>
      <c r="B227" s="43" t="s">
        <v>765</v>
      </c>
      <c r="C227" s="43" t="s">
        <v>59</v>
      </c>
      <c r="D227" s="43" t="s">
        <v>69</v>
      </c>
      <c r="E227" s="43"/>
      <c r="F227" s="43"/>
      <c r="G227" s="59">
        <f t="shared" si="23"/>
        <v>10</v>
      </c>
      <c r="H227" s="59">
        <f t="shared" si="23"/>
        <v>10</v>
      </c>
      <c r="I227" s="59">
        <f t="shared" si="23"/>
        <v>10</v>
      </c>
    </row>
    <row r="228" spans="1:9" ht="78.75">
      <c r="A228" s="40" t="s">
        <v>687</v>
      </c>
      <c r="B228" s="43" t="s">
        <v>765</v>
      </c>
      <c r="C228" s="43" t="s">
        <v>59</v>
      </c>
      <c r="D228" s="43" t="s">
        <v>69</v>
      </c>
      <c r="E228" s="43" t="s">
        <v>566</v>
      </c>
      <c r="F228" s="43"/>
      <c r="G228" s="59">
        <f t="shared" si="23"/>
        <v>10</v>
      </c>
      <c r="H228" s="59">
        <f t="shared" si="23"/>
        <v>10</v>
      </c>
      <c r="I228" s="59">
        <f t="shared" si="23"/>
        <v>10</v>
      </c>
    </row>
    <row r="229" spans="1:9" ht="63">
      <c r="A229" s="40" t="s">
        <v>690</v>
      </c>
      <c r="B229" s="43" t="s">
        <v>765</v>
      </c>
      <c r="C229" s="43" t="s">
        <v>59</v>
      </c>
      <c r="D229" s="43" t="s">
        <v>69</v>
      </c>
      <c r="E229" s="43" t="s">
        <v>579</v>
      </c>
      <c r="F229" s="43"/>
      <c r="G229" s="59">
        <f t="shared" si="23"/>
        <v>10</v>
      </c>
      <c r="H229" s="59">
        <f t="shared" si="23"/>
        <v>10</v>
      </c>
      <c r="I229" s="59">
        <f t="shared" si="23"/>
        <v>10</v>
      </c>
    </row>
    <row r="230" spans="1:9" ht="63">
      <c r="A230" s="40" t="s">
        <v>691</v>
      </c>
      <c r="B230" s="43" t="s">
        <v>765</v>
      </c>
      <c r="C230" s="43" t="s">
        <v>59</v>
      </c>
      <c r="D230" s="43" t="s">
        <v>69</v>
      </c>
      <c r="E230" s="43" t="s">
        <v>586</v>
      </c>
      <c r="F230" s="43"/>
      <c r="G230" s="59">
        <f t="shared" si="23"/>
        <v>10</v>
      </c>
      <c r="H230" s="59">
        <f t="shared" si="23"/>
        <v>10</v>
      </c>
      <c r="I230" s="59">
        <f t="shared" si="23"/>
        <v>10</v>
      </c>
    </row>
    <row r="231" spans="1:9" ht="31.5">
      <c r="A231" s="40" t="s">
        <v>99</v>
      </c>
      <c r="B231" s="43" t="s">
        <v>765</v>
      </c>
      <c r="C231" s="43" t="s">
        <v>59</v>
      </c>
      <c r="D231" s="43" t="s">
        <v>69</v>
      </c>
      <c r="E231" s="42" t="s">
        <v>591</v>
      </c>
      <c r="F231" s="43"/>
      <c r="G231" s="59">
        <f t="shared" si="23"/>
        <v>10</v>
      </c>
      <c r="H231" s="59">
        <f>H232</f>
        <v>10</v>
      </c>
      <c r="I231" s="59">
        <f>I232</f>
        <v>10</v>
      </c>
    </row>
    <row r="232" spans="1:9" ht="47.25">
      <c r="A232" s="174" t="s">
        <v>20</v>
      </c>
      <c r="B232" s="43" t="s">
        <v>765</v>
      </c>
      <c r="C232" s="155" t="s">
        <v>59</v>
      </c>
      <c r="D232" s="155" t="s">
        <v>69</v>
      </c>
      <c r="E232" s="57" t="s">
        <v>591</v>
      </c>
      <c r="F232" s="155" t="s">
        <v>100</v>
      </c>
      <c r="G232" s="171">
        <v>10</v>
      </c>
      <c r="H232" s="171">
        <v>10</v>
      </c>
      <c r="I232" s="171">
        <v>10</v>
      </c>
    </row>
    <row r="233" spans="1:9" ht="54.75" customHeight="1">
      <c r="A233" s="50" t="s">
        <v>976</v>
      </c>
      <c r="B233" s="46" t="s">
        <v>766</v>
      </c>
      <c r="C233" s="43"/>
      <c r="D233" s="43"/>
      <c r="E233" s="43"/>
      <c r="F233" s="43"/>
      <c r="G233" s="149">
        <f>G244+G234</f>
        <v>2000.0000000000002</v>
      </c>
      <c r="H233" s="149">
        <f>H244+H234</f>
        <v>2000</v>
      </c>
      <c r="I233" s="149">
        <f>I244+I234</f>
        <v>1900</v>
      </c>
    </row>
    <row r="234" spans="1:9" ht="15.75">
      <c r="A234" s="40" t="s">
        <v>50</v>
      </c>
      <c r="B234" s="43" t="s">
        <v>766</v>
      </c>
      <c r="C234" s="43" t="s">
        <v>51</v>
      </c>
      <c r="D234" s="43"/>
      <c r="E234" s="43"/>
      <c r="F234" s="43"/>
      <c r="G234" s="59">
        <f>G235</f>
        <v>1990.0000000000002</v>
      </c>
      <c r="H234" s="59">
        <f>H235</f>
        <v>1990</v>
      </c>
      <c r="I234" s="59">
        <f>I235</f>
        <v>1890</v>
      </c>
    </row>
    <row r="235" spans="1:9" ht="63">
      <c r="A235" s="124" t="s">
        <v>57</v>
      </c>
      <c r="B235" s="43" t="s">
        <v>766</v>
      </c>
      <c r="C235" s="43" t="s">
        <v>51</v>
      </c>
      <c r="D235" s="43" t="s">
        <v>58</v>
      </c>
      <c r="E235" s="43"/>
      <c r="F235" s="43"/>
      <c r="G235" s="59">
        <f>G236</f>
        <v>1990.0000000000002</v>
      </c>
      <c r="H235" s="59">
        <f aca="true" t="shared" si="24" ref="H235:I237">H236</f>
        <v>1990</v>
      </c>
      <c r="I235" s="59">
        <f t="shared" si="24"/>
        <v>1890</v>
      </c>
    </row>
    <row r="236" spans="1:9" ht="78.75">
      <c r="A236" s="40" t="s">
        <v>687</v>
      </c>
      <c r="B236" s="43" t="s">
        <v>766</v>
      </c>
      <c r="C236" s="43" t="s">
        <v>51</v>
      </c>
      <c r="D236" s="43" t="s">
        <v>58</v>
      </c>
      <c r="E236" s="43" t="s">
        <v>566</v>
      </c>
      <c r="F236" s="43"/>
      <c r="G236" s="59">
        <f>G237</f>
        <v>1990.0000000000002</v>
      </c>
      <c r="H236" s="59">
        <f t="shared" si="24"/>
        <v>1990</v>
      </c>
      <c r="I236" s="59">
        <f t="shared" si="24"/>
        <v>1890</v>
      </c>
    </row>
    <row r="237" spans="1:9" ht="66" customHeight="1">
      <c r="A237" s="40" t="s">
        <v>695</v>
      </c>
      <c r="B237" s="43" t="s">
        <v>766</v>
      </c>
      <c r="C237" s="43" t="s">
        <v>51</v>
      </c>
      <c r="D237" s="43" t="s">
        <v>58</v>
      </c>
      <c r="E237" s="43" t="s">
        <v>605</v>
      </c>
      <c r="F237" s="43"/>
      <c r="G237" s="59">
        <f>G238</f>
        <v>1990.0000000000002</v>
      </c>
      <c r="H237" s="59">
        <f t="shared" si="24"/>
        <v>1990</v>
      </c>
      <c r="I237" s="59">
        <f t="shared" si="24"/>
        <v>1890</v>
      </c>
    </row>
    <row r="238" spans="1:9" ht="67.5" customHeight="1">
      <c r="A238" s="40" t="s">
        <v>696</v>
      </c>
      <c r="B238" s="43" t="s">
        <v>766</v>
      </c>
      <c r="C238" s="43" t="s">
        <v>51</v>
      </c>
      <c r="D238" s="43" t="s">
        <v>58</v>
      </c>
      <c r="E238" s="43" t="s">
        <v>606</v>
      </c>
      <c r="F238" s="43"/>
      <c r="G238" s="45">
        <f>G239+G242</f>
        <v>1990.0000000000002</v>
      </c>
      <c r="H238" s="45">
        <f>H239+H242</f>
        <v>1990</v>
      </c>
      <c r="I238" s="45">
        <f>I239+I242</f>
        <v>1890</v>
      </c>
    </row>
    <row r="239" spans="1:9" ht="33.75" customHeight="1">
      <c r="A239" s="40" t="s">
        <v>99</v>
      </c>
      <c r="B239" s="43" t="s">
        <v>766</v>
      </c>
      <c r="C239" s="43" t="s">
        <v>51</v>
      </c>
      <c r="D239" s="43" t="s">
        <v>58</v>
      </c>
      <c r="E239" s="42" t="s">
        <v>607</v>
      </c>
      <c r="F239" s="43"/>
      <c r="G239" s="45">
        <f>G240+G241</f>
        <v>1700.7000000000003</v>
      </c>
      <c r="H239" s="45">
        <f>H240+H241</f>
        <v>1700.7</v>
      </c>
      <c r="I239" s="45">
        <f>I240+I241</f>
        <v>1600.7</v>
      </c>
    </row>
    <row r="240" spans="1:9" ht="51.75" customHeight="1">
      <c r="A240" s="40" t="s">
        <v>96</v>
      </c>
      <c r="B240" s="43" t="s">
        <v>766</v>
      </c>
      <c r="C240" s="43" t="s">
        <v>51</v>
      </c>
      <c r="D240" s="43" t="s">
        <v>58</v>
      </c>
      <c r="E240" s="42" t="s">
        <v>607</v>
      </c>
      <c r="F240" s="43" t="s">
        <v>97</v>
      </c>
      <c r="G240" s="45">
        <v>1524.6000000000001</v>
      </c>
      <c r="H240" s="45">
        <f>1782.7-289.3</f>
        <v>1493.4</v>
      </c>
      <c r="I240" s="45">
        <f>1782.7-289.3</f>
        <v>1493.4</v>
      </c>
    </row>
    <row r="241" spans="1:9" ht="33.75" customHeight="1">
      <c r="A241" s="40" t="s">
        <v>20</v>
      </c>
      <c r="B241" s="43" t="s">
        <v>766</v>
      </c>
      <c r="C241" s="43" t="s">
        <v>51</v>
      </c>
      <c r="D241" s="43" t="s">
        <v>58</v>
      </c>
      <c r="E241" s="42" t="s">
        <v>607</v>
      </c>
      <c r="F241" s="43" t="s">
        <v>100</v>
      </c>
      <c r="G241" s="45">
        <v>176.10000000000002</v>
      </c>
      <c r="H241" s="45">
        <f>207.3</f>
        <v>207.3</v>
      </c>
      <c r="I241" s="45">
        <f>207.3-100</f>
        <v>107.30000000000001</v>
      </c>
    </row>
    <row r="242" spans="1:9" ht="77.25" customHeight="1">
      <c r="A242" s="40" t="s">
        <v>462</v>
      </c>
      <c r="B242" s="43" t="s">
        <v>766</v>
      </c>
      <c r="C242" s="43" t="s">
        <v>51</v>
      </c>
      <c r="D242" s="43" t="s">
        <v>58</v>
      </c>
      <c r="E242" s="43" t="s">
        <v>608</v>
      </c>
      <c r="F242" s="43"/>
      <c r="G242" s="59">
        <f>G243</f>
        <v>289.3</v>
      </c>
      <c r="H242" s="59">
        <f>H243</f>
        <v>289.3</v>
      </c>
      <c r="I242" s="59">
        <f>I243</f>
        <v>289.3</v>
      </c>
    </row>
    <row r="243" spans="1:9" ht="55.5" customHeight="1">
      <c r="A243" s="37" t="s">
        <v>96</v>
      </c>
      <c r="B243" s="43" t="s">
        <v>766</v>
      </c>
      <c r="C243" s="43" t="s">
        <v>51</v>
      </c>
      <c r="D243" s="43" t="s">
        <v>58</v>
      </c>
      <c r="E243" s="43" t="s">
        <v>608</v>
      </c>
      <c r="F243" s="43" t="s">
        <v>97</v>
      </c>
      <c r="G243" s="59">
        <v>289.3</v>
      </c>
      <c r="H243" s="59">
        <v>289.3</v>
      </c>
      <c r="I243" s="59">
        <v>289.3</v>
      </c>
    </row>
    <row r="244" spans="1:9" ht="15.75">
      <c r="A244" s="40" t="s">
        <v>76</v>
      </c>
      <c r="B244" s="43" t="s">
        <v>766</v>
      </c>
      <c r="C244" s="43" t="s">
        <v>59</v>
      </c>
      <c r="D244" s="43"/>
      <c r="E244" s="43"/>
      <c r="F244" s="43"/>
      <c r="G244" s="59">
        <f aca="true" t="shared" si="25" ref="G244:G249">G245</f>
        <v>10</v>
      </c>
      <c r="H244" s="59">
        <f aca="true" t="shared" si="26" ref="H244:I248">H245</f>
        <v>10</v>
      </c>
      <c r="I244" s="59">
        <f t="shared" si="26"/>
        <v>10</v>
      </c>
    </row>
    <row r="245" spans="1:9" ht="47.25">
      <c r="A245" s="128" t="s">
        <v>520</v>
      </c>
      <c r="B245" s="43" t="s">
        <v>766</v>
      </c>
      <c r="C245" s="43" t="s">
        <v>59</v>
      </c>
      <c r="D245" s="43" t="s">
        <v>69</v>
      </c>
      <c r="E245" s="43"/>
      <c r="F245" s="43"/>
      <c r="G245" s="59">
        <f t="shared" si="25"/>
        <v>10</v>
      </c>
      <c r="H245" s="59">
        <f t="shared" si="26"/>
        <v>10</v>
      </c>
      <c r="I245" s="59">
        <f t="shared" si="26"/>
        <v>10</v>
      </c>
    </row>
    <row r="246" spans="1:9" ht="78.75">
      <c r="A246" s="40" t="s">
        <v>687</v>
      </c>
      <c r="B246" s="43" t="s">
        <v>766</v>
      </c>
      <c r="C246" s="43" t="s">
        <v>59</v>
      </c>
      <c r="D246" s="43" t="s">
        <v>69</v>
      </c>
      <c r="E246" s="43" t="s">
        <v>566</v>
      </c>
      <c r="F246" s="43"/>
      <c r="G246" s="59">
        <f t="shared" si="25"/>
        <v>10</v>
      </c>
      <c r="H246" s="59">
        <f t="shared" si="26"/>
        <v>10</v>
      </c>
      <c r="I246" s="59">
        <f t="shared" si="26"/>
        <v>10</v>
      </c>
    </row>
    <row r="247" spans="1:9" ht="63">
      <c r="A247" s="40" t="s">
        <v>695</v>
      </c>
      <c r="B247" s="43" t="s">
        <v>766</v>
      </c>
      <c r="C247" s="43" t="s">
        <v>59</v>
      </c>
      <c r="D247" s="43" t="s">
        <v>69</v>
      </c>
      <c r="E247" s="43" t="s">
        <v>605</v>
      </c>
      <c r="F247" s="43"/>
      <c r="G247" s="59">
        <f t="shared" si="25"/>
        <v>10</v>
      </c>
      <c r="H247" s="59">
        <f t="shared" si="26"/>
        <v>10</v>
      </c>
      <c r="I247" s="59">
        <f t="shared" si="26"/>
        <v>10</v>
      </c>
    </row>
    <row r="248" spans="1:9" ht="63">
      <c r="A248" s="40" t="s">
        <v>696</v>
      </c>
      <c r="B248" s="43" t="s">
        <v>766</v>
      </c>
      <c r="C248" s="43" t="s">
        <v>59</v>
      </c>
      <c r="D248" s="43" t="s">
        <v>69</v>
      </c>
      <c r="E248" s="43" t="s">
        <v>606</v>
      </c>
      <c r="F248" s="43"/>
      <c r="G248" s="59">
        <f t="shared" si="25"/>
        <v>10</v>
      </c>
      <c r="H248" s="59">
        <f t="shared" si="26"/>
        <v>10</v>
      </c>
      <c r="I248" s="59">
        <f t="shared" si="26"/>
        <v>10</v>
      </c>
    </row>
    <row r="249" spans="1:9" ht="39.75" customHeight="1">
      <c r="A249" s="40" t="s">
        <v>99</v>
      </c>
      <c r="B249" s="43" t="s">
        <v>766</v>
      </c>
      <c r="C249" s="43" t="s">
        <v>59</v>
      </c>
      <c r="D249" s="43" t="s">
        <v>69</v>
      </c>
      <c r="E249" s="42" t="s">
        <v>607</v>
      </c>
      <c r="F249" s="43"/>
      <c r="G249" s="59">
        <f t="shared" si="25"/>
        <v>10</v>
      </c>
      <c r="H249" s="59">
        <f>H250</f>
        <v>10</v>
      </c>
      <c r="I249" s="59">
        <f>I250</f>
        <v>10</v>
      </c>
    </row>
    <row r="250" spans="1:9" ht="47.25">
      <c r="A250" s="174" t="s">
        <v>20</v>
      </c>
      <c r="B250" s="43" t="s">
        <v>766</v>
      </c>
      <c r="C250" s="155" t="s">
        <v>59</v>
      </c>
      <c r="D250" s="155" t="s">
        <v>69</v>
      </c>
      <c r="E250" s="57" t="s">
        <v>607</v>
      </c>
      <c r="F250" s="155" t="s">
        <v>100</v>
      </c>
      <c r="G250" s="171">
        <v>10</v>
      </c>
      <c r="H250" s="171">
        <v>10</v>
      </c>
      <c r="I250" s="171">
        <v>10</v>
      </c>
    </row>
    <row r="251" spans="1:9" ht="55.5" customHeight="1">
      <c r="A251" s="50" t="s">
        <v>977</v>
      </c>
      <c r="B251" s="46" t="s">
        <v>797</v>
      </c>
      <c r="C251" s="46"/>
      <c r="D251" s="46"/>
      <c r="E251" s="46"/>
      <c r="F251" s="46"/>
      <c r="G251" s="93">
        <f>G252+G379+G427+G462+G588+G606+G670+G741+G747+G803+G372</f>
        <v>706753.2000000002</v>
      </c>
      <c r="H251" s="93">
        <f>H252+H379+H427+H462+H588+H606+H670+H741+H747+H803+H372</f>
        <v>464177.80000000005</v>
      </c>
      <c r="I251" s="93">
        <f>I252+I379+I427+I462+I588+I606+I670+I741+I747+I803+I372</f>
        <v>230412.9</v>
      </c>
    </row>
    <row r="252" spans="1:9" ht="15.75">
      <c r="A252" s="40" t="s">
        <v>50</v>
      </c>
      <c r="B252" s="43" t="s">
        <v>797</v>
      </c>
      <c r="C252" s="43" t="s">
        <v>51</v>
      </c>
      <c r="D252" s="43"/>
      <c r="E252" s="43"/>
      <c r="F252" s="43"/>
      <c r="G252" s="45">
        <f>G261+G299+G303+G291+G295+G253</f>
        <v>114055.5</v>
      </c>
      <c r="H252" s="45">
        <f>H261+H299+H303+H291+H295+H253</f>
        <v>116346.7</v>
      </c>
      <c r="I252" s="45">
        <f>I261+I299+I303+I291+I295+I253</f>
        <v>111417.09999999999</v>
      </c>
    </row>
    <row r="253" spans="1:9" ht="63">
      <c r="A253" s="7" t="s">
        <v>354</v>
      </c>
      <c r="B253" s="43" t="s">
        <v>797</v>
      </c>
      <c r="C253" s="43" t="s">
        <v>51</v>
      </c>
      <c r="D253" s="43" t="s">
        <v>52</v>
      </c>
      <c r="E253" s="109"/>
      <c r="F253" s="109"/>
      <c r="G253" s="45">
        <f aca="true" t="shared" si="27" ref="G253:I254">G254</f>
        <v>2160</v>
      </c>
      <c r="H253" s="45">
        <f t="shared" si="27"/>
        <v>2160</v>
      </c>
      <c r="I253" s="45">
        <f t="shared" si="27"/>
        <v>2160</v>
      </c>
    </row>
    <row r="254" spans="1:9" ht="78.75">
      <c r="A254" s="40" t="s">
        <v>687</v>
      </c>
      <c r="B254" s="43" t="s">
        <v>797</v>
      </c>
      <c r="C254" s="43" t="s">
        <v>51</v>
      </c>
      <c r="D254" s="43" t="s">
        <v>52</v>
      </c>
      <c r="E254" s="43" t="s">
        <v>566</v>
      </c>
      <c r="F254" s="109"/>
      <c r="G254" s="45">
        <f>G255</f>
        <v>2160</v>
      </c>
      <c r="H254" s="45">
        <f t="shared" si="27"/>
        <v>2160</v>
      </c>
      <c r="I254" s="45">
        <f t="shared" si="27"/>
        <v>2160</v>
      </c>
    </row>
    <row r="255" spans="1:9" ht="51.75" customHeight="1">
      <c r="A255" s="40" t="s">
        <v>688</v>
      </c>
      <c r="B255" s="43" t="s">
        <v>797</v>
      </c>
      <c r="C255" s="43" t="s">
        <v>51</v>
      </c>
      <c r="D255" s="43" t="s">
        <v>52</v>
      </c>
      <c r="E255" s="43" t="s">
        <v>578</v>
      </c>
      <c r="F255" s="74"/>
      <c r="G255" s="59">
        <f>G256</f>
        <v>2160</v>
      </c>
      <c r="H255" s="59">
        <f>H256</f>
        <v>2160</v>
      </c>
      <c r="I255" s="59">
        <f>I256</f>
        <v>2160</v>
      </c>
    </row>
    <row r="256" spans="1:9" ht="48" customHeight="1">
      <c r="A256" s="40" t="s">
        <v>689</v>
      </c>
      <c r="B256" s="43" t="s">
        <v>797</v>
      </c>
      <c r="C256" s="43" t="s">
        <v>51</v>
      </c>
      <c r="D256" s="43" t="s">
        <v>52</v>
      </c>
      <c r="E256" s="43" t="s">
        <v>582</v>
      </c>
      <c r="F256" s="74"/>
      <c r="G256" s="94">
        <f>G257+G259</f>
        <v>2160</v>
      </c>
      <c r="H256" s="94">
        <f>H257+H259</f>
        <v>2160</v>
      </c>
      <c r="I256" s="94">
        <f>I257+I259</f>
        <v>2160</v>
      </c>
    </row>
    <row r="257" spans="1:9" ht="31.5">
      <c r="A257" s="7" t="s">
        <v>95</v>
      </c>
      <c r="B257" s="43" t="s">
        <v>797</v>
      </c>
      <c r="C257" s="43" t="s">
        <v>51</v>
      </c>
      <c r="D257" s="43" t="s">
        <v>52</v>
      </c>
      <c r="E257" s="42" t="s">
        <v>581</v>
      </c>
      <c r="F257" s="109"/>
      <c r="G257" s="45">
        <f>G258</f>
        <v>1674.2</v>
      </c>
      <c r="H257" s="45">
        <f>H258</f>
        <v>1674.2</v>
      </c>
      <c r="I257" s="45">
        <f>I258</f>
        <v>1674.2</v>
      </c>
    </row>
    <row r="258" spans="1:9" ht="47.25">
      <c r="A258" s="154" t="s">
        <v>96</v>
      </c>
      <c r="B258" s="43" t="s">
        <v>797</v>
      </c>
      <c r="C258" s="155" t="s">
        <v>51</v>
      </c>
      <c r="D258" s="155" t="s">
        <v>52</v>
      </c>
      <c r="E258" s="57" t="s">
        <v>581</v>
      </c>
      <c r="F258" s="57" t="s">
        <v>97</v>
      </c>
      <c r="G258" s="94">
        <f>2160-485.8</f>
        <v>1674.2</v>
      </c>
      <c r="H258" s="94">
        <f>2160-485.8</f>
        <v>1674.2</v>
      </c>
      <c r="I258" s="94">
        <f>2160-485.8</f>
        <v>1674.2</v>
      </c>
    </row>
    <row r="259" spans="1:9" ht="63">
      <c r="A259" s="40" t="s">
        <v>462</v>
      </c>
      <c r="B259" s="43" t="s">
        <v>797</v>
      </c>
      <c r="C259" s="43" t="s">
        <v>51</v>
      </c>
      <c r="D259" s="43" t="s">
        <v>52</v>
      </c>
      <c r="E259" s="43" t="s">
        <v>583</v>
      </c>
      <c r="F259" s="43"/>
      <c r="G259" s="59">
        <f>G260</f>
        <v>485.8</v>
      </c>
      <c r="H259" s="59">
        <f>H260</f>
        <v>485.8</v>
      </c>
      <c r="I259" s="59">
        <f>I260</f>
        <v>485.8</v>
      </c>
    </row>
    <row r="260" spans="1:9" ht="47.25">
      <c r="A260" s="37" t="s">
        <v>96</v>
      </c>
      <c r="B260" s="43" t="s">
        <v>797</v>
      </c>
      <c r="C260" s="43" t="s">
        <v>51</v>
      </c>
      <c r="D260" s="43" t="s">
        <v>52</v>
      </c>
      <c r="E260" s="43" t="s">
        <v>583</v>
      </c>
      <c r="F260" s="43" t="s">
        <v>97</v>
      </c>
      <c r="G260" s="94">
        <v>485.8</v>
      </c>
      <c r="H260" s="94">
        <v>485.8</v>
      </c>
      <c r="I260" s="94">
        <v>485.8</v>
      </c>
    </row>
    <row r="261" spans="1:9" ht="106.5" customHeight="1">
      <c r="A261" s="40" t="s">
        <v>55</v>
      </c>
      <c r="B261" s="43" t="s">
        <v>797</v>
      </c>
      <c r="C261" s="43" t="s">
        <v>51</v>
      </c>
      <c r="D261" s="43" t="s">
        <v>56</v>
      </c>
      <c r="E261" s="43"/>
      <c r="F261" s="43"/>
      <c r="G261" s="45">
        <f>G274+G267+G262</f>
        <v>68259.7</v>
      </c>
      <c r="H261" s="45">
        <f>H274+H267+H262</f>
        <v>71409.8</v>
      </c>
      <c r="I261" s="45">
        <f>I274+I267+I262</f>
        <v>66457</v>
      </c>
    </row>
    <row r="262" spans="1:9" ht="63">
      <c r="A262" s="40" t="s">
        <v>713</v>
      </c>
      <c r="B262" s="43" t="s">
        <v>797</v>
      </c>
      <c r="C262" s="43" t="s">
        <v>51</v>
      </c>
      <c r="D262" s="43" t="s">
        <v>56</v>
      </c>
      <c r="E262" s="43" t="s">
        <v>374</v>
      </c>
      <c r="F262" s="43"/>
      <c r="G262" s="45">
        <f aca="true" t="shared" si="28" ref="G262:I263">G263</f>
        <v>994.9</v>
      </c>
      <c r="H262" s="45">
        <f t="shared" si="28"/>
        <v>994.9</v>
      </c>
      <c r="I262" s="45">
        <f t="shared" si="28"/>
        <v>994.9</v>
      </c>
    </row>
    <row r="263" spans="1:9" ht="63">
      <c r="A263" s="37" t="s">
        <v>192</v>
      </c>
      <c r="B263" s="43" t="s">
        <v>797</v>
      </c>
      <c r="C263" s="43" t="s">
        <v>51</v>
      </c>
      <c r="D263" s="43" t="s">
        <v>56</v>
      </c>
      <c r="E263" s="43" t="s">
        <v>717</v>
      </c>
      <c r="F263" s="43"/>
      <c r="G263" s="45">
        <f t="shared" si="28"/>
        <v>994.9</v>
      </c>
      <c r="H263" s="45">
        <f t="shared" si="28"/>
        <v>994.9</v>
      </c>
      <c r="I263" s="45">
        <f t="shared" si="28"/>
        <v>994.9</v>
      </c>
    </row>
    <row r="264" spans="1:9" ht="47.25">
      <c r="A264" s="156" t="s">
        <v>428</v>
      </c>
      <c r="B264" s="43" t="s">
        <v>797</v>
      </c>
      <c r="C264" s="43" t="s">
        <v>51</v>
      </c>
      <c r="D264" s="43" t="s">
        <v>56</v>
      </c>
      <c r="E264" s="43" t="s">
        <v>718</v>
      </c>
      <c r="F264" s="43"/>
      <c r="G264" s="45">
        <f>G265+G266</f>
        <v>994.9</v>
      </c>
      <c r="H264" s="45">
        <f>H265+H266</f>
        <v>994.9</v>
      </c>
      <c r="I264" s="45">
        <f>I265+I266</f>
        <v>994.9</v>
      </c>
    </row>
    <row r="265" spans="1:9" ht="53.25" customHeight="1">
      <c r="A265" s="37" t="s">
        <v>96</v>
      </c>
      <c r="B265" s="43" t="s">
        <v>797</v>
      </c>
      <c r="C265" s="43" t="s">
        <v>51</v>
      </c>
      <c r="D265" s="43" t="s">
        <v>56</v>
      </c>
      <c r="E265" s="43" t="s">
        <v>718</v>
      </c>
      <c r="F265" s="43" t="s">
        <v>97</v>
      </c>
      <c r="G265" s="45">
        <v>994.9</v>
      </c>
      <c r="H265" s="45">
        <v>994.9</v>
      </c>
      <c r="I265" s="45">
        <v>994.9</v>
      </c>
    </row>
    <row r="266" spans="1:9" ht="53.25" customHeight="1" hidden="1">
      <c r="A266" s="40" t="s">
        <v>20</v>
      </c>
      <c r="B266" s="43" t="s">
        <v>797</v>
      </c>
      <c r="C266" s="43" t="s">
        <v>51</v>
      </c>
      <c r="D266" s="43" t="s">
        <v>56</v>
      </c>
      <c r="E266" s="43" t="s">
        <v>718</v>
      </c>
      <c r="F266" s="43" t="s">
        <v>100</v>
      </c>
      <c r="G266" s="45">
        <v>0</v>
      </c>
      <c r="H266" s="45">
        <v>0</v>
      </c>
      <c r="I266" s="45">
        <v>0</v>
      </c>
    </row>
    <row r="267" spans="1:9" ht="78.75">
      <c r="A267" s="37" t="s">
        <v>790</v>
      </c>
      <c r="B267" s="43" t="s">
        <v>797</v>
      </c>
      <c r="C267" s="43" t="s">
        <v>51</v>
      </c>
      <c r="D267" s="43" t="s">
        <v>56</v>
      </c>
      <c r="E267" s="43" t="s">
        <v>371</v>
      </c>
      <c r="F267" s="43"/>
      <c r="G267" s="45">
        <f>G268+G271</f>
        <v>500</v>
      </c>
      <c r="H267" s="45">
        <f>H268+H271</f>
        <v>500</v>
      </c>
      <c r="I267" s="45">
        <f>I268+I271</f>
        <v>50</v>
      </c>
    </row>
    <row r="268" spans="1:9" ht="36.75" customHeight="1">
      <c r="A268" s="37" t="s">
        <v>370</v>
      </c>
      <c r="B268" s="43" t="s">
        <v>797</v>
      </c>
      <c r="C268" s="43" t="s">
        <v>51</v>
      </c>
      <c r="D268" s="43" t="s">
        <v>56</v>
      </c>
      <c r="E268" s="43" t="s">
        <v>791</v>
      </c>
      <c r="F268" s="43"/>
      <c r="G268" s="45">
        <f aca="true" t="shared" si="29" ref="G268:I269">G269</f>
        <v>230</v>
      </c>
      <c r="H268" s="45">
        <f t="shared" si="29"/>
        <v>230</v>
      </c>
      <c r="I268" s="45">
        <f t="shared" si="29"/>
        <v>30</v>
      </c>
    </row>
    <row r="269" spans="1:9" ht="39" customHeight="1">
      <c r="A269" s="40" t="s">
        <v>95</v>
      </c>
      <c r="B269" s="43" t="s">
        <v>797</v>
      </c>
      <c r="C269" s="43" t="s">
        <v>51</v>
      </c>
      <c r="D269" s="43" t="s">
        <v>56</v>
      </c>
      <c r="E269" s="43" t="s">
        <v>792</v>
      </c>
      <c r="F269" s="43"/>
      <c r="G269" s="45">
        <f t="shared" si="29"/>
        <v>230</v>
      </c>
      <c r="H269" s="45">
        <f t="shared" si="29"/>
        <v>230</v>
      </c>
      <c r="I269" s="45">
        <f t="shared" si="29"/>
        <v>30</v>
      </c>
    </row>
    <row r="270" spans="1:9" ht="47.25">
      <c r="A270" s="40" t="s">
        <v>20</v>
      </c>
      <c r="B270" s="43" t="s">
        <v>797</v>
      </c>
      <c r="C270" s="43" t="s">
        <v>51</v>
      </c>
      <c r="D270" s="43" t="s">
        <v>56</v>
      </c>
      <c r="E270" s="43" t="s">
        <v>792</v>
      </c>
      <c r="F270" s="43" t="s">
        <v>100</v>
      </c>
      <c r="G270" s="45">
        <v>230</v>
      </c>
      <c r="H270" s="45">
        <v>230</v>
      </c>
      <c r="I270" s="45">
        <f>230-200</f>
        <v>30</v>
      </c>
    </row>
    <row r="271" spans="1:9" ht="63">
      <c r="A271" s="40" t="s">
        <v>795</v>
      </c>
      <c r="B271" s="43" t="s">
        <v>797</v>
      </c>
      <c r="C271" s="43" t="s">
        <v>51</v>
      </c>
      <c r="D271" s="43" t="s">
        <v>56</v>
      </c>
      <c r="E271" s="43" t="s">
        <v>793</v>
      </c>
      <c r="F271" s="43"/>
      <c r="G271" s="45">
        <f aca="true" t="shared" si="30" ref="G271:I272">G272</f>
        <v>270</v>
      </c>
      <c r="H271" s="45">
        <f t="shared" si="30"/>
        <v>270</v>
      </c>
      <c r="I271" s="45">
        <f t="shared" si="30"/>
        <v>20</v>
      </c>
    </row>
    <row r="272" spans="1:9" ht="31.5">
      <c r="A272" s="40" t="s">
        <v>95</v>
      </c>
      <c r="B272" s="43" t="s">
        <v>797</v>
      </c>
      <c r="C272" s="43" t="s">
        <v>51</v>
      </c>
      <c r="D272" s="43" t="s">
        <v>56</v>
      </c>
      <c r="E272" s="43" t="s">
        <v>794</v>
      </c>
      <c r="F272" s="43"/>
      <c r="G272" s="45">
        <f t="shared" si="30"/>
        <v>270</v>
      </c>
      <c r="H272" s="45">
        <f t="shared" si="30"/>
        <v>270</v>
      </c>
      <c r="I272" s="45">
        <f t="shared" si="30"/>
        <v>20</v>
      </c>
    </row>
    <row r="273" spans="1:9" ht="61.5" customHeight="1">
      <c r="A273" s="40" t="s">
        <v>20</v>
      </c>
      <c r="B273" s="43" t="s">
        <v>797</v>
      </c>
      <c r="C273" s="43" t="s">
        <v>51</v>
      </c>
      <c r="D273" s="43" t="s">
        <v>56</v>
      </c>
      <c r="E273" s="43" t="s">
        <v>794</v>
      </c>
      <c r="F273" s="43" t="s">
        <v>100</v>
      </c>
      <c r="G273" s="45">
        <v>270</v>
      </c>
      <c r="H273" s="45">
        <v>270</v>
      </c>
      <c r="I273" s="45">
        <f>270-250</f>
        <v>20</v>
      </c>
    </row>
    <row r="274" spans="1:9" ht="89.25" customHeight="1">
      <c r="A274" s="40" t="s">
        <v>687</v>
      </c>
      <c r="B274" s="43" t="s">
        <v>797</v>
      </c>
      <c r="C274" s="43" t="s">
        <v>51</v>
      </c>
      <c r="D274" s="43" t="s">
        <v>56</v>
      </c>
      <c r="E274" s="43" t="s">
        <v>566</v>
      </c>
      <c r="F274" s="74"/>
      <c r="G274" s="94">
        <f aca="true" t="shared" si="31" ref="G274:I275">G275</f>
        <v>66764.8</v>
      </c>
      <c r="H274" s="94">
        <f t="shared" si="31"/>
        <v>69914.90000000001</v>
      </c>
      <c r="I274" s="94">
        <f t="shared" si="31"/>
        <v>65412.1</v>
      </c>
    </row>
    <row r="275" spans="1:9" ht="50.25" customHeight="1">
      <c r="A275" s="40" t="s">
        <v>688</v>
      </c>
      <c r="B275" s="43" t="s">
        <v>797</v>
      </c>
      <c r="C275" s="43" t="s">
        <v>51</v>
      </c>
      <c r="D275" s="43" t="s">
        <v>56</v>
      </c>
      <c r="E275" s="43" t="s">
        <v>578</v>
      </c>
      <c r="F275" s="74"/>
      <c r="G275" s="94">
        <f t="shared" si="31"/>
        <v>66764.8</v>
      </c>
      <c r="H275" s="94">
        <f t="shared" si="31"/>
        <v>69914.90000000001</v>
      </c>
      <c r="I275" s="94">
        <f t="shared" si="31"/>
        <v>65412.1</v>
      </c>
    </row>
    <row r="276" spans="1:9" ht="51.75" customHeight="1">
      <c r="A276" s="40" t="s">
        <v>689</v>
      </c>
      <c r="B276" s="43" t="s">
        <v>797</v>
      </c>
      <c r="C276" s="43" t="s">
        <v>51</v>
      </c>
      <c r="D276" s="43" t="s">
        <v>56</v>
      </c>
      <c r="E276" s="43" t="s">
        <v>582</v>
      </c>
      <c r="F276" s="74"/>
      <c r="G276" s="94">
        <f>G277+G283+G285+G288+G281</f>
        <v>66764.8</v>
      </c>
      <c r="H276" s="94">
        <f>H277+H283+H285+H288+H281</f>
        <v>69914.90000000001</v>
      </c>
      <c r="I276" s="94">
        <f>I277+I283+I285+I288+I281</f>
        <v>65412.1</v>
      </c>
    </row>
    <row r="277" spans="1:9" ht="50.25" customHeight="1">
      <c r="A277" s="40" t="s">
        <v>95</v>
      </c>
      <c r="B277" s="43" t="s">
        <v>797</v>
      </c>
      <c r="C277" s="43" t="s">
        <v>51</v>
      </c>
      <c r="D277" s="43" t="s">
        <v>56</v>
      </c>
      <c r="E277" s="43" t="s">
        <v>581</v>
      </c>
      <c r="F277" s="74"/>
      <c r="G277" s="45">
        <f>G278+G279+G280</f>
        <v>46859.6</v>
      </c>
      <c r="H277" s="45">
        <f>H278+H279+H280</f>
        <v>49839.200000000004</v>
      </c>
      <c r="I277" s="45">
        <f>I278+I279+I280</f>
        <v>45155</v>
      </c>
    </row>
    <row r="278" spans="1:9" ht="47.25">
      <c r="A278" s="37" t="s">
        <v>96</v>
      </c>
      <c r="B278" s="43" t="s">
        <v>797</v>
      </c>
      <c r="C278" s="43" t="s">
        <v>51</v>
      </c>
      <c r="D278" s="43" t="s">
        <v>56</v>
      </c>
      <c r="E278" s="43" t="s">
        <v>581</v>
      </c>
      <c r="F278" s="74" t="s">
        <v>97</v>
      </c>
      <c r="G278" s="94">
        <v>34180.9</v>
      </c>
      <c r="H278" s="94">
        <f>52214.3-18701.2</f>
        <v>33513.100000000006</v>
      </c>
      <c r="I278" s="94">
        <f>52214.3-18882.4</f>
        <v>33331.9</v>
      </c>
    </row>
    <row r="279" spans="1:9" ht="57.75" customHeight="1">
      <c r="A279" s="40" t="s">
        <v>20</v>
      </c>
      <c r="B279" s="43" t="s">
        <v>797</v>
      </c>
      <c r="C279" s="43" t="s">
        <v>51</v>
      </c>
      <c r="D279" s="43" t="s">
        <v>56</v>
      </c>
      <c r="E279" s="43" t="s">
        <v>581</v>
      </c>
      <c r="F279" s="74" t="s">
        <v>100</v>
      </c>
      <c r="G279" s="94">
        <v>12328.699999999999</v>
      </c>
      <c r="H279" s="59">
        <v>15976.099999999999</v>
      </c>
      <c r="I279" s="59">
        <v>11473.099999999999</v>
      </c>
    </row>
    <row r="280" spans="1:9" ht="36" customHeight="1">
      <c r="A280" s="40" t="s">
        <v>21</v>
      </c>
      <c r="B280" s="43" t="s">
        <v>797</v>
      </c>
      <c r="C280" s="43" t="s">
        <v>51</v>
      </c>
      <c r="D280" s="43" t="s">
        <v>56</v>
      </c>
      <c r="E280" s="43" t="s">
        <v>581</v>
      </c>
      <c r="F280" s="74" t="s">
        <v>101</v>
      </c>
      <c r="G280" s="94">
        <v>350</v>
      </c>
      <c r="H280" s="94">
        <v>350</v>
      </c>
      <c r="I280" s="94">
        <v>350</v>
      </c>
    </row>
    <row r="281" spans="1:9" ht="252" hidden="1">
      <c r="A281" s="40" t="s">
        <v>550</v>
      </c>
      <c r="B281" s="43" t="s">
        <v>797</v>
      </c>
      <c r="C281" s="43" t="s">
        <v>51</v>
      </c>
      <c r="D281" s="43" t="s">
        <v>56</v>
      </c>
      <c r="E281" s="43" t="s">
        <v>619</v>
      </c>
      <c r="F281" s="43"/>
      <c r="G281" s="59">
        <f>G282</f>
        <v>0</v>
      </c>
      <c r="H281" s="59"/>
      <c r="I281" s="59"/>
    </row>
    <row r="282" spans="1:9" ht="50.25" customHeight="1" hidden="1">
      <c r="A282" s="40" t="s">
        <v>96</v>
      </c>
      <c r="B282" s="43" t="s">
        <v>797</v>
      </c>
      <c r="C282" s="43" t="s">
        <v>51</v>
      </c>
      <c r="D282" s="43" t="s">
        <v>56</v>
      </c>
      <c r="E282" s="43" t="s">
        <v>619</v>
      </c>
      <c r="F282" s="43" t="s">
        <v>97</v>
      </c>
      <c r="G282" s="59">
        <v>0</v>
      </c>
      <c r="H282" s="59"/>
      <c r="I282" s="59"/>
    </row>
    <row r="283" spans="1:9" ht="63">
      <c r="A283" s="40" t="s">
        <v>462</v>
      </c>
      <c r="B283" s="43" t="s">
        <v>797</v>
      </c>
      <c r="C283" s="43" t="s">
        <v>51</v>
      </c>
      <c r="D283" s="43" t="s">
        <v>56</v>
      </c>
      <c r="E283" s="43" t="s">
        <v>583</v>
      </c>
      <c r="F283" s="43"/>
      <c r="G283" s="59">
        <f>G284</f>
        <v>18530.5</v>
      </c>
      <c r="H283" s="59">
        <f>H284</f>
        <v>18701.2</v>
      </c>
      <c r="I283" s="59">
        <f>I284</f>
        <v>18882.4</v>
      </c>
    </row>
    <row r="284" spans="1:9" ht="47.25">
      <c r="A284" s="37" t="s">
        <v>96</v>
      </c>
      <c r="B284" s="43" t="s">
        <v>797</v>
      </c>
      <c r="C284" s="43" t="s">
        <v>51</v>
      </c>
      <c r="D284" s="43" t="s">
        <v>56</v>
      </c>
      <c r="E284" s="43" t="s">
        <v>583</v>
      </c>
      <c r="F284" s="43" t="s">
        <v>97</v>
      </c>
      <c r="G284" s="94">
        <f>18330.5+200</f>
        <v>18530.5</v>
      </c>
      <c r="H284" s="94">
        <f>18501.2+200</f>
        <v>18701.2</v>
      </c>
      <c r="I284" s="94">
        <f>18682.4+200</f>
        <v>18882.4</v>
      </c>
    </row>
    <row r="285" spans="1:9" ht="169.5" customHeight="1">
      <c r="A285" s="156" t="s">
        <v>213</v>
      </c>
      <c r="B285" s="43" t="s">
        <v>797</v>
      </c>
      <c r="C285" s="43" t="s">
        <v>51</v>
      </c>
      <c r="D285" s="43" t="s">
        <v>56</v>
      </c>
      <c r="E285" s="43" t="s">
        <v>584</v>
      </c>
      <c r="F285" s="43"/>
      <c r="G285" s="59">
        <f>G286+G287</f>
        <v>289.2</v>
      </c>
      <c r="H285" s="45">
        <f>H286+H287</f>
        <v>289.3</v>
      </c>
      <c r="I285" s="45">
        <f>I286+I287</f>
        <v>289.5</v>
      </c>
    </row>
    <row r="286" spans="1:9" ht="47.25">
      <c r="A286" s="37" t="s">
        <v>96</v>
      </c>
      <c r="B286" s="43" t="s">
        <v>797</v>
      </c>
      <c r="C286" s="43" t="s">
        <v>51</v>
      </c>
      <c r="D286" s="43" t="s">
        <v>56</v>
      </c>
      <c r="E286" s="43" t="s">
        <v>584</v>
      </c>
      <c r="F286" s="43" t="s">
        <v>97</v>
      </c>
      <c r="G286" s="94">
        <v>30</v>
      </c>
      <c r="H286" s="94">
        <v>30</v>
      </c>
      <c r="I286" s="94">
        <v>30</v>
      </c>
    </row>
    <row r="287" spans="1:9" ht="47.25">
      <c r="A287" s="40" t="s">
        <v>20</v>
      </c>
      <c r="B287" s="43" t="s">
        <v>797</v>
      </c>
      <c r="C287" s="43" t="s">
        <v>51</v>
      </c>
      <c r="D287" s="43" t="s">
        <v>56</v>
      </c>
      <c r="E287" s="43" t="s">
        <v>584</v>
      </c>
      <c r="F287" s="43" t="s">
        <v>100</v>
      </c>
      <c r="G287" s="94">
        <v>259.2</v>
      </c>
      <c r="H287" s="94">
        <v>259.3</v>
      </c>
      <c r="I287" s="94">
        <v>259.5</v>
      </c>
    </row>
    <row r="288" spans="1:9" ht="47.25">
      <c r="A288" s="156" t="s">
        <v>428</v>
      </c>
      <c r="B288" s="43" t="s">
        <v>797</v>
      </c>
      <c r="C288" s="43" t="s">
        <v>51</v>
      </c>
      <c r="D288" s="43" t="s">
        <v>56</v>
      </c>
      <c r="E288" s="43" t="s">
        <v>585</v>
      </c>
      <c r="F288" s="43"/>
      <c r="G288" s="45">
        <f>G289+G290</f>
        <v>1085.5</v>
      </c>
      <c r="H288" s="45">
        <f>H289+H290</f>
        <v>1085.2</v>
      </c>
      <c r="I288" s="45">
        <f>I289+I290</f>
        <v>1085.2</v>
      </c>
    </row>
    <row r="289" spans="1:9" ht="47.25">
      <c r="A289" s="37" t="s">
        <v>96</v>
      </c>
      <c r="B289" s="43" t="s">
        <v>797</v>
      </c>
      <c r="C289" s="43" t="s">
        <v>51</v>
      </c>
      <c r="D289" s="43" t="s">
        <v>56</v>
      </c>
      <c r="E289" s="43" t="s">
        <v>585</v>
      </c>
      <c r="F289" s="43" t="s">
        <v>97</v>
      </c>
      <c r="G289" s="94">
        <f>539.1+160.4+75.5+23.6+2.2+20.2</f>
        <v>821.0000000000001</v>
      </c>
      <c r="H289" s="94">
        <f>799.6+20.2</f>
        <v>819.8000000000001</v>
      </c>
      <c r="I289" s="94">
        <f>799.6+20.2</f>
        <v>819.8000000000001</v>
      </c>
    </row>
    <row r="290" spans="1:9" ht="48" customHeight="1">
      <c r="A290" s="40" t="s">
        <v>20</v>
      </c>
      <c r="B290" s="43" t="s">
        <v>797</v>
      </c>
      <c r="C290" s="43" t="s">
        <v>51</v>
      </c>
      <c r="D290" s="43" t="s">
        <v>56</v>
      </c>
      <c r="E290" s="43" t="s">
        <v>585</v>
      </c>
      <c r="F290" s="43" t="s">
        <v>100</v>
      </c>
      <c r="G290" s="94">
        <f>261.8+2.7</f>
        <v>264.5</v>
      </c>
      <c r="H290" s="94">
        <f>262.7+2.7</f>
        <v>265.4</v>
      </c>
      <c r="I290" s="94">
        <f>262.7+2.7</f>
        <v>265.4</v>
      </c>
    </row>
    <row r="291" spans="1:9" ht="15.75">
      <c r="A291" s="37" t="s">
        <v>280</v>
      </c>
      <c r="B291" s="43" t="s">
        <v>797</v>
      </c>
      <c r="C291" s="43" t="s">
        <v>51</v>
      </c>
      <c r="D291" s="43" t="s">
        <v>69</v>
      </c>
      <c r="E291" s="43"/>
      <c r="F291" s="43"/>
      <c r="G291" s="59">
        <f aca="true" t="shared" si="32" ref="G291:I293">G292</f>
        <v>0.5</v>
      </c>
      <c r="H291" s="45">
        <f t="shared" si="32"/>
        <v>0.5</v>
      </c>
      <c r="I291" s="45">
        <f t="shared" si="32"/>
        <v>0.5</v>
      </c>
    </row>
    <row r="292" spans="1:9" ht="31.5">
      <c r="A292" s="158" t="s">
        <v>281</v>
      </c>
      <c r="B292" s="43" t="s">
        <v>797</v>
      </c>
      <c r="C292" s="43" t="s">
        <v>51</v>
      </c>
      <c r="D292" s="43" t="s">
        <v>69</v>
      </c>
      <c r="E292" s="43" t="s">
        <v>282</v>
      </c>
      <c r="F292" s="43"/>
      <c r="G292" s="59">
        <f t="shared" si="32"/>
        <v>0.5</v>
      </c>
      <c r="H292" s="45">
        <f t="shared" si="32"/>
        <v>0.5</v>
      </c>
      <c r="I292" s="45">
        <f t="shared" si="32"/>
        <v>0.5</v>
      </c>
    </row>
    <row r="293" spans="1:9" ht="108.75" customHeight="1">
      <c r="A293" s="158" t="s">
        <v>505</v>
      </c>
      <c r="B293" s="43" t="s">
        <v>797</v>
      </c>
      <c r="C293" s="43" t="s">
        <v>51</v>
      </c>
      <c r="D293" s="43" t="s">
        <v>69</v>
      </c>
      <c r="E293" s="43" t="s">
        <v>283</v>
      </c>
      <c r="F293" s="43"/>
      <c r="G293" s="59">
        <f t="shared" si="32"/>
        <v>0.5</v>
      </c>
      <c r="H293" s="45">
        <f t="shared" si="32"/>
        <v>0.5</v>
      </c>
      <c r="I293" s="45">
        <f t="shared" si="32"/>
        <v>0.5</v>
      </c>
    </row>
    <row r="294" spans="1:9" ht="47.25">
      <c r="A294" s="37" t="s">
        <v>20</v>
      </c>
      <c r="B294" s="43" t="s">
        <v>797</v>
      </c>
      <c r="C294" s="43" t="s">
        <v>51</v>
      </c>
      <c r="D294" s="43" t="s">
        <v>69</v>
      </c>
      <c r="E294" s="43" t="s">
        <v>283</v>
      </c>
      <c r="F294" s="43" t="s">
        <v>100</v>
      </c>
      <c r="G294" s="59">
        <v>0.5</v>
      </c>
      <c r="H294" s="59">
        <v>0.5</v>
      </c>
      <c r="I294" s="59">
        <v>0.5</v>
      </c>
    </row>
    <row r="295" spans="1:9" ht="31.5" hidden="1">
      <c r="A295" s="37" t="s">
        <v>609</v>
      </c>
      <c r="B295" s="43" t="s">
        <v>797</v>
      </c>
      <c r="C295" s="43" t="s">
        <v>51</v>
      </c>
      <c r="D295" s="43" t="s">
        <v>59</v>
      </c>
      <c r="E295" s="43"/>
      <c r="F295" s="43"/>
      <c r="G295" s="59">
        <f>G296</f>
        <v>0</v>
      </c>
      <c r="H295" s="45"/>
      <c r="I295" s="45"/>
    </row>
    <row r="296" spans="1:9" ht="15.75" hidden="1">
      <c r="A296" s="37" t="s">
        <v>614</v>
      </c>
      <c r="B296" s="43" t="s">
        <v>797</v>
      </c>
      <c r="C296" s="43" t="s">
        <v>51</v>
      </c>
      <c r="D296" s="43" t="s">
        <v>59</v>
      </c>
      <c r="E296" s="43" t="s">
        <v>612</v>
      </c>
      <c r="F296" s="43"/>
      <c r="G296" s="59">
        <f>G297</f>
        <v>0</v>
      </c>
      <c r="H296" s="45"/>
      <c r="I296" s="45"/>
    </row>
    <row r="297" spans="1:9" ht="47.25" hidden="1">
      <c r="A297" s="37" t="s">
        <v>615</v>
      </c>
      <c r="B297" s="43" t="s">
        <v>797</v>
      </c>
      <c r="C297" s="43" t="s">
        <v>51</v>
      </c>
      <c r="D297" s="43" t="s">
        <v>59</v>
      </c>
      <c r="E297" s="43" t="s">
        <v>613</v>
      </c>
      <c r="F297" s="43"/>
      <c r="G297" s="59">
        <f>G298</f>
        <v>0</v>
      </c>
      <c r="H297" s="45"/>
      <c r="I297" s="45"/>
    </row>
    <row r="298" spans="1:9" ht="15.75" hidden="1">
      <c r="A298" s="37" t="s">
        <v>611</v>
      </c>
      <c r="B298" s="43" t="s">
        <v>797</v>
      </c>
      <c r="C298" s="43" t="s">
        <v>51</v>
      </c>
      <c r="D298" s="43" t="s">
        <v>59</v>
      </c>
      <c r="E298" s="43" t="s">
        <v>613</v>
      </c>
      <c r="F298" s="43" t="s">
        <v>610</v>
      </c>
      <c r="G298" s="59">
        <v>0</v>
      </c>
      <c r="H298" s="45"/>
      <c r="I298" s="45"/>
    </row>
    <row r="299" spans="1:9" ht="15.75">
      <c r="A299" s="40" t="s">
        <v>214</v>
      </c>
      <c r="B299" s="43" t="s">
        <v>797</v>
      </c>
      <c r="C299" s="43" t="s">
        <v>51</v>
      </c>
      <c r="D299" s="43" t="s">
        <v>61</v>
      </c>
      <c r="E299" s="43"/>
      <c r="F299" s="43"/>
      <c r="G299" s="59">
        <f aca="true" t="shared" si="33" ref="G299:I301">G300</f>
        <v>74.79999999999998</v>
      </c>
      <c r="H299" s="45">
        <f t="shared" si="33"/>
        <v>425.4</v>
      </c>
      <c r="I299" s="45">
        <f t="shared" si="33"/>
        <v>425.4</v>
      </c>
    </row>
    <row r="300" spans="1:9" ht="18.75" customHeight="1">
      <c r="A300" s="40" t="s">
        <v>214</v>
      </c>
      <c r="B300" s="43" t="s">
        <v>797</v>
      </c>
      <c r="C300" s="43" t="s">
        <v>51</v>
      </c>
      <c r="D300" s="43" t="s">
        <v>61</v>
      </c>
      <c r="E300" s="43" t="s">
        <v>372</v>
      </c>
      <c r="F300" s="43"/>
      <c r="G300" s="59">
        <f t="shared" si="33"/>
        <v>74.79999999999998</v>
      </c>
      <c r="H300" s="45">
        <f t="shared" si="33"/>
        <v>425.4</v>
      </c>
      <c r="I300" s="45">
        <f t="shared" si="33"/>
        <v>425.4</v>
      </c>
    </row>
    <row r="301" spans="1:9" ht="18" customHeight="1">
      <c r="A301" s="40" t="s">
        <v>215</v>
      </c>
      <c r="B301" s="43" t="s">
        <v>797</v>
      </c>
      <c r="C301" s="43" t="s">
        <v>51</v>
      </c>
      <c r="D301" s="43" t="s">
        <v>61</v>
      </c>
      <c r="E301" s="43" t="s">
        <v>373</v>
      </c>
      <c r="F301" s="43"/>
      <c r="G301" s="59">
        <f t="shared" si="33"/>
        <v>74.79999999999998</v>
      </c>
      <c r="H301" s="45">
        <f t="shared" si="33"/>
        <v>425.4</v>
      </c>
      <c r="I301" s="45">
        <f t="shared" si="33"/>
        <v>425.4</v>
      </c>
    </row>
    <row r="302" spans="1:9" ht="20.25" customHeight="1">
      <c r="A302" s="40" t="s">
        <v>216</v>
      </c>
      <c r="B302" s="43" t="s">
        <v>797</v>
      </c>
      <c r="C302" s="43" t="s">
        <v>51</v>
      </c>
      <c r="D302" s="43" t="s">
        <v>61</v>
      </c>
      <c r="E302" s="43" t="s">
        <v>373</v>
      </c>
      <c r="F302" s="43" t="s">
        <v>217</v>
      </c>
      <c r="G302" s="59">
        <v>74.79999999999998</v>
      </c>
      <c r="H302" s="59">
        <f>500-74.6</f>
        <v>425.4</v>
      </c>
      <c r="I302" s="59">
        <f>500-74.6</f>
        <v>425.4</v>
      </c>
    </row>
    <row r="303" spans="1:9" ht="17.25" customHeight="1">
      <c r="A303" s="40" t="s">
        <v>62</v>
      </c>
      <c r="B303" s="43" t="s">
        <v>797</v>
      </c>
      <c r="C303" s="43" t="s">
        <v>51</v>
      </c>
      <c r="D303" s="43" t="s">
        <v>63</v>
      </c>
      <c r="E303" s="43"/>
      <c r="F303" s="43"/>
      <c r="G303" s="59">
        <f>G304+G311+G327+G361+G369+G332+G358+G338</f>
        <v>43560.5</v>
      </c>
      <c r="H303" s="59">
        <f>H304+H311+H327+H361+H369+H332+H358+H338</f>
        <v>42351</v>
      </c>
      <c r="I303" s="59">
        <f>I304+I311+I327+I361+I369+I332+I358+I338</f>
        <v>42374.2</v>
      </c>
    </row>
    <row r="304" spans="1:9" ht="78.75">
      <c r="A304" s="40" t="s">
        <v>724</v>
      </c>
      <c r="B304" s="43" t="s">
        <v>797</v>
      </c>
      <c r="C304" s="43" t="s">
        <v>51</v>
      </c>
      <c r="D304" s="43" t="s">
        <v>63</v>
      </c>
      <c r="E304" s="43" t="s">
        <v>174</v>
      </c>
      <c r="F304" s="43"/>
      <c r="G304" s="59">
        <f aca="true" t="shared" si="34" ref="G304:I307">G305</f>
        <v>11998.2</v>
      </c>
      <c r="H304" s="45">
        <f t="shared" si="34"/>
        <v>12000</v>
      </c>
      <c r="I304" s="45">
        <f t="shared" si="34"/>
        <v>12000</v>
      </c>
    </row>
    <row r="305" spans="1:9" ht="94.5">
      <c r="A305" s="40" t="s">
        <v>934</v>
      </c>
      <c r="B305" s="43" t="s">
        <v>797</v>
      </c>
      <c r="C305" s="43" t="s">
        <v>51</v>
      </c>
      <c r="D305" s="43" t="s">
        <v>63</v>
      </c>
      <c r="E305" s="43" t="s">
        <v>256</v>
      </c>
      <c r="F305" s="43"/>
      <c r="G305" s="59">
        <f>G306</f>
        <v>11998.2</v>
      </c>
      <c r="H305" s="45">
        <f t="shared" si="34"/>
        <v>12000</v>
      </c>
      <c r="I305" s="45">
        <f t="shared" si="34"/>
        <v>12000</v>
      </c>
    </row>
    <row r="306" spans="1:9" ht="31.5">
      <c r="A306" s="40" t="s">
        <v>935</v>
      </c>
      <c r="B306" s="43" t="s">
        <v>797</v>
      </c>
      <c r="C306" s="43" t="s">
        <v>51</v>
      </c>
      <c r="D306" s="43" t="s">
        <v>63</v>
      </c>
      <c r="E306" s="43" t="s">
        <v>255</v>
      </c>
      <c r="F306" s="43"/>
      <c r="G306" s="59">
        <f>G307+G309</f>
        <v>11998.2</v>
      </c>
      <c r="H306" s="59">
        <f>H307+H309</f>
        <v>12000</v>
      </c>
      <c r="I306" s="59">
        <f>I307+I309</f>
        <v>12000</v>
      </c>
    </row>
    <row r="307" spans="1:9" ht="15.75">
      <c r="A307" s="40" t="s">
        <v>936</v>
      </c>
      <c r="B307" s="43" t="s">
        <v>797</v>
      </c>
      <c r="C307" s="43" t="s">
        <v>51</v>
      </c>
      <c r="D307" s="43" t="s">
        <v>63</v>
      </c>
      <c r="E307" s="43" t="s">
        <v>257</v>
      </c>
      <c r="F307" s="43"/>
      <c r="G307" s="59">
        <f>G308</f>
        <v>7173.3</v>
      </c>
      <c r="H307" s="45">
        <f t="shared" si="34"/>
        <v>7003.6</v>
      </c>
      <c r="I307" s="45">
        <f t="shared" si="34"/>
        <v>6826.1</v>
      </c>
    </row>
    <row r="308" spans="1:9" ht="15.75">
      <c r="A308" s="125" t="s">
        <v>110</v>
      </c>
      <c r="B308" s="43" t="s">
        <v>797</v>
      </c>
      <c r="C308" s="43" t="s">
        <v>51</v>
      </c>
      <c r="D308" s="43" t="s">
        <v>63</v>
      </c>
      <c r="E308" s="43" t="s">
        <v>257</v>
      </c>
      <c r="F308" s="43" t="s">
        <v>111</v>
      </c>
      <c r="G308" s="94">
        <v>7173.3</v>
      </c>
      <c r="H308" s="94">
        <f>12000-4996.4</f>
        <v>7003.6</v>
      </c>
      <c r="I308" s="94">
        <f>12000-5173.9</f>
        <v>6826.1</v>
      </c>
    </row>
    <row r="309" spans="1:9" ht="63">
      <c r="A309" s="40" t="s">
        <v>462</v>
      </c>
      <c r="B309" s="43" t="s">
        <v>797</v>
      </c>
      <c r="C309" s="43" t="s">
        <v>51</v>
      </c>
      <c r="D309" s="43" t="s">
        <v>63</v>
      </c>
      <c r="E309" s="43" t="s">
        <v>463</v>
      </c>
      <c r="F309" s="43"/>
      <c r="G309" s="59">
        <f>G310</f>
        <v>4824.9</v>
      </c>
      <c r="H309" s="59">
        <f>H310</f>
        <v>4996.4</v>
      </c>
      <c r="I309" s="59">
        <f>I310</f>
        <v>5173.9</v>
      </c>
    </row>
    <row r="310" spans="1:9" ht="15.75">
      <c r="A310" s="125" t="s">
        <v>110</v>
      </c>
      <c r="B310" s="43" t="s">
        <v>797</v>
      </c>
      <c r="C310" s="43" t="s">
        <v>51</v>
      </c>
      <c r="D310" s="43" t="s">
        <v>63</v>
      </c>
      <c r="E310" s="43" t="s">
        <v>463</v>
      </c>
      <c r="F310" s="43" t="s">
        <v>111</v>
      </c>
      <c r="G310" s="59">
        <v>4824.9</v>
      </c>
      <c r="H310" s="94">
        <v>4996.4</v>
      </c>
      <c r="I310" s="94">
        <v>5173.9</v>
      </c>
    </row>
    <row r="311" spans="1:9" ht="94.5">
      <c r="A311" s="40" t="s">
        <v>825</v>
      </c>
      <c r="B311" s="43" t="s">
        <v>797</v>
      </c>
      <c r="C311" s="43" t="s">
        <v>51</v>
      </c>
      <c r="D311" s="43" t="s">
        <v>63</v>
      </c>
      <c r="E311" s="43" t="s">
        <v>334</v>
      </c>
      <c r="F311" s="43"/>
      <c r="G311" s="94">
        <f>G312+G318</f>
        <v>5354.4</v>
      </c>
      <c r="H311" s="94">
        <f>H312+H318</f>
        <v>5034</v>
      </c>
      <c r="I311" s="94">
        <f>I312+I318</f>
        <v>5034</v>
      </c>
    </row>
    <row r="312" spans="1:9" ht="47.25">
      <c r="A312" s="40" t="s">
        <v>826</v>
      </c>
      <c r="B312" s="43" t="s">
        <v>797</v>
      </c>
      <c r="C312" s="43" t="s">
        <v>51</v>
      </c>
      <c r="D312" s="43" t="s">
        <v>63</v>
      </c>
      <c r="E312" s="43" t="s">
        <v>335</v>
      </c>
      <c r="F312" s="43"/>
      <c r="G312" s="94">
        <f>G313</f>
        <v>3654.4</v>
      </c>
      <c r="H312" s="45">
        <f aca="true" t="shared" si="35" ref="G312:I313">H313</f>
        <v>3334</v>
      </c>
      <c r="I312" s="45">
        <f t="shared" si="35"/>
        <v>3334</v>
      </c>
    </row>
    <row r="313" spans="1:9" ht="47.25">
      <c r="A313" s="40" t="s">
        <v>827</v>
      </c>
      <c r="B313" s="43" t="s">
        <v>797</v>
      </c>
      <c r="C313" s="43" t="s">
        <v>51</v>
      </c>
      <c r="D313" s="43" t="s">
        <v>63</v>
      </c>
      <c r="E313" s="43" t="s">
        <v>336</v>
      </c>
      <c r="F313" s="43"/>
      <c r="G313" s="94">
        <f t="shared" si="35"/>
        <v>3654.4</v>
      </c>
      <c r="H313" s="45">
        <f t="shared" si="35"/>
        <v>3334</v>
      </c>
      <c r="I313" s="45">
        <f t="shared" si="35"/>
        <v>3334</v>
      </c>
    </row>
    <row r="314" spans="1:9" ht="15.75">
      <c r="A314" s="40" t="s">
        <v>223</v>
      </c>
      <c r="B314" s="43" t="s">
        <v>797</v>
      </c>
      <c r="C314" s="43" t="s">
        <v>51</v>
      </c>
      <c r="D314" s="43" t="s">
        <v>63</v>
      </c>
      <c r="E314" s="43" t="s">
        <v>337</v>
      </c>
      <c r="F314" s="43"/>
      <c r="G314" s="94">
        <f>G315+G317+G316</f>
        <v>3654.4</v>
      </c>
      <c r="H314" s="94">
        <f>H315+H317+H316</f>
        <v>3334</v>
      </c>
      <c r="I314" s="94">
        <f>I315+I317+I316</f>
        <v>3334</v>
      </c>
    </row>
    <row r="315" spans="1:9" ht="47.25">
      <c r="A315" s="40" t="s">
        <v>20</v>
      </c>
      <c r="B315" s="43" t="s">
        <v>797</v>
      </c>
      <c r="C315" s="43" t="s">
        <v>51</v>
      </c>
      <c r="D315" s="43" t="s">
        <v>63</v>
      </c>
      <c r="E315" s="43" t="s">
        <v>337</v>
      </c>
      <c r="F315" s="43" t="s">
        <v>100</v>
      </c>
      <c r="G315" s="94">
        <v>3650.2000000000003</v>
      </c>
      <c r="H315" s="94">
        <v>3334</v>
      </c>
      <c r="I315" s="94">
        <v>3334</v>
      </c>
    </row>
    <row r="316" spans="1:9" ht="15.75">
      <c r="A316" s="40" t="s">
        <v>992</v>
      </c>
      <c r="B316" s="43" t="s">
        <v>797</v>
      </c>
      <c r="C316" s="43" t="s">
        <v>51</v>
      </c>
      <c r="D316" s="43" t="s">
        <v>63</v>
      </c>
      <c r="E316" s="43" t="s">
        <v>337</v>
      </c>
      <c r="F316" s="43" t="s">
        <v>991</v>
      </c>
      <c r="G316" s="94">
        <v>4.1000000000000005</v>
      </c>
      <c r="H316" s="94"/>
      <c r="I316" s="94"/>
    </row>
    <row r="317" spans="1:9" ht="31.5">
      <c r="A317" s="40" t="s">
        <v>21</v>
      </c>
      <c r="B317" s="43" t="s">
        <v>797</v>
      </c>
      <c r="C317" s="43" t="s">
        <v>51</v>
      </c>
      <c r="D317" s="43" t="s">
        <v>63</v>
      </c>
      <c r="E317" s="43" t="s">
        <v>337</v>
      </c>
      <c r="F317" s="43" t="s">
        <v>101</v>
      </c>
      <c r="G317" s="94">
        <v>0.09999999999999998</v>
      </c>
      <c r="H317" s="94"/>
      <c r="I317" s="94"/>
    </row>
    <row r="318" spans="1:9" ht="173.25">
      <c r="A318" s="40" t="s">
        <v>830</v>
      </c>
      <c r="B318" s="43" t="s">
        <v>797</v>
      </c>
      <c r="C318" s="43" t="s">
        <v>51</v>
      </c>
      <c r="D318" s="43" t="s">
        <v>63</v>
      </c>
      <c r="E318" s="43" t="s">
        <v>342</v>
      </c>
      <c r="F318" s="43"/>
      <c r="G318" s="94">
        <f>G319+G322</f>
        <v>1700</v>
      </c>
      <c r="H318" s="94">
        <f>H319+H322</f>
        <v>1700</v>
      </c>
      <c r="I318" s="94">
        <f>I319+I322</f>
        <v>1700</v>
      </c>
    </row>
    <row r="319" spans="1:9" ht="78.75">
      <c r="A319" s="40" t="s">
        <v>831</v>
      </c>
      <c r="B319" s="43" t="s">
        <v>797</v>
      </c>
      <c r="C319" s="43" t="s">
        <v>51</v>
      </c>
      <c r="D319" s="43" t="s">
        <v>63</v>
      </c>
      <c r="E319" s="43" t="s">
        <v>343</v>
      </c>
      <c r="F319" s="43"/>
      <c r="G319" s="94">
        <f>G320</f>
        <v>1300</v>
      </c>
      <c r="H319" s="94">
        <f aca="true" t="shared" si="36" ref="G319:I320">H320</f>
        <v>1300</v>
      </c>
      <c r="I319" s="94">
        <f t="shared" si="36"/>
        <v>1300</v>
      </c>
    </row>
    <row r="320" spans="1:9" ht="15.75">
      <c r="A320" s="40" t="s">
        <v>223</v>
      </c>
      <c r="B320" s="43" t="s">
        <v>797</v>
      </c>
      <c r="C320" s="43" t="s">
        <v>51</v>
      </c>
      <c r="D320" s="43" t="s">
        <v>63</v>
      </c>
      <c r="E320" s="43" t="s">
        <v>344</v>
      </c>
      <c r="F320" s="43"/>
      <c r="G320" s="94">
        <f t="shared" si="36"/>
        <v>1300</v>
      </c>
      <c r="H320" s="45">
        <f t="shared" si="36"/>
        <v>1300</v>
      </c>
      <c r="I320" s="45">
        <f t="shared" si="36"/>
        <v>1300</v>
      </c>
    </row>
    <row r="321" spans="1:9" ht="47.25">
      <c r="A321" s="40" t="s">
        <v>20</v>
      </c>
      <c r="B321" s="43" t="s">
        <v>797</v>
      </c>
      <c r="C321" s="43" t="s">
        <v>51</v>
      </c>
      <c r="D321" s="43" t="s">
        <v>63</v>
      </c>
      <c r="E321" s="43" t="s">
        <v>344</v>
      </c>
      <c r="F321" s="43" t="s">
        <v>100</v>
      </c>
      <c r="G321" s="94">
        <v>1300</v>
      </c>
      <c r="H321" s="94">
        <v>1300</v>
      </c>
      <c r="I321" s="94">
        <v>1300</v>
      </c>
    </row>
    <row r="322" spans="1:9" ht="87" customHeight="1">
      <c r="A322" s="40" t="s">
        <v>832</v>
      </c>
      <c r="B322" s="43" t="s">
        <v>797</v>
      </c>
      <c r="C322" s="43" t="s">
        <v>51</v>
      </c>
      <c r="D322" s="43" t="s">
        <v>63</v>
      </c>
      <c r="E322" s="43" t="s">
        <v>515</v>
      </c>
      <c r="F322" s="43"/>
      <c r="G322" s="94">
        <f>G323</f>
        <v>400</v>
      </c>
      <c r="H322" s="45">
        <f>H323</f>
        <v>400</v>
      </c>
      <c r="I322" s="45">
        <f>I323</f>
        <v>400</v>
      </c>
    </row>
    <row r="323" spans="1:9" ht="47.25">
      <c r="A323" s="40" t="s">
        <v>224</v>
      </c>
      <c r="B323" s="43" t="s">
        <v>797</v>
      </c>
      <c r="C323" s="43" t="s">
        <v>51</v>
      </c>
      <c r="D323" s="43" t="s">
        <v>63</v>
      </c>
      <c r="E323" s="43" t="s">
        <v>516</v>
      </c>
      <c r="F323" s="43"/>
      <c r="G323" s="94">
        <f>G324+G326+G325</f>
        <v>400</v>
      </c>
      <c r="H323" s="45">
        <f>H324</f>
        <v>400</v>
      </c>
      <c r="I323" s="45">
        <f>I324</f>
        <v>400</v>
      </c>
    </row>
    <row r="324" spans="1:9" ht="47.25">
      <c r="A324" s="40" t="s">
        <v>20</v>
      </c>
      <c r="B324" s="43" t="s">
        <v>797</v>
      </c>
      <c r="C324" s="43" t="s">
        <v>51</v>
      </c>
      <c r="D324" s="43" t="s">
        <v>63</v>
      </c>
      <c r="E324" s="43" t="s">
        <v>516</v>
      </c>
      <c r="F324" s="43" t="s">
        <v>100</v>
      </c>
      <c r="G324" s="94">
        <v>321</v>
      </c>
      <c r="H324" s="94">
        <v>400</v>
      </c>
      <c r="I324" s="94">
        <v>400</v>
      </c>
    </row>
    <row r="325" spans="1:9" ht="15.75">
      <c r="A325" s="40" t="s">
        <v>992</v>
      </c>
      <c r="B325" s="43" t="s">
        <v>797</v>
      </c>
      <c r="C325" s="43" t="s">
        <v>51</v>
      </c>
      <c r="D325" s="43" t="s">
        <v>63</v>
      </c>
      <c r="E325" s="43" t="s">
        <v>516</v>
      </c>
      <c r="F325" s="43" t="s">
        <v>991</v>
      </c>
      <c r="G325" s="94">
        <v>54.8</v>
      </c>
      <c r="H325" s="94"/>
      <c r="I325" s="94"/>
    </row>
    <row r="326" spans="1:9" ht="31.5">
      <c r="A326" s="40" t="s">
        <v>21</v>
      </c>
      <c r="B326" s="43" t="s">
        <v>797</v>
      </c>
      <c r="C326" s="43" t="s">
        <v>51</v>
      </c>
      <c r="D326" s="43" t="s">
        <v>63</v>
      </c>
      <c r="E326" s="43" t="s">
        <v>516</v>
      </c>
      <c r="F326" s="43" t="s">
        <v>101</v>
      </c>
      <c r="G326" s="94">
        <v>24.2</v>
      </c>
      <c r="H326" s="94"/>
      <c r="I326" s="94"/>
    </row>
    <row r="327" spans="1:9" ht="47.25">
      <c r="A327" s="37" t="s">
        <v>738</v>
      </c>
      <c r="B327" s="43" t="s">
        <v>797</v>
      </c>
      <c r="C327" s="43" t="s">
        <v>51</v>
      </c>
      <c r="D327" s="43" t="s">
        <v>63</v>
      </c>
      <c r="E327" s="43" t="s">
        <v>132</v>
      </c>
      <c r="F327" s="43"/>
      <c r="G327" s="59">
        <f>G328</f>
        <v>408</v>
      </c>
      <c r="H327" s="45">
        <f>H328</f>
        <v>348</v>
      </c>
      <c r="I327" s="45">
        <f>I328</f>
        <v>348</v>
      </c>
    </row>
    <row r="328" spans="1:9" ht="31.5">
      <c r="A328" s="37" t="s">
        <v>233</v>
      </c>
      <c r="B328" s="43" t="s">
        <v>797</v>
      </c>
      <c r="C328" s="43" t="s">
        <v>51</v>
      </c>
      <c r="D328" s="43" t="s">
        <v>63</v>
      </c>
      <c r="E328" s="43" t="s">
        <v>241</v>
      </c>
      <c r="F328" s="43"/>
      <c r="G328" s="59">
        <f>G330</f>
        <v>408</v>
      </c>
      <c r="H328" s="45">
        <f>H330</f>
        <v>348</v>
      </c>
      <c r="I328" s="45">
        <f>I330</f>
        <v>348</v>
      </c>
    </row>
    <row r="329" spans="1:9" ht="78.75">
      <c r="A329" s="40" t="s">
        <v>237</v>
      </c>
      <c r="B329" s="43" t="s">
        <v>797</v>
      </c>
      <c r="C329" s="43" t="s">
        <v>51</v>
      </c>
      <c r="D329" s="43" t="s">
        <v>63</v>
      </c>
      <c r="E329" s="43" t="s">
        <v>239</v>
      </c>
      <c r="F329" s="43"/>
      <c r="G329" s="59">
        <f aca="true" t="shared" si="37" ref="G329:I330">G330</f>
        <v>408</v>
      </c>
      <c r="H329" s="45">
        <f t="shared" si="37"/>
        <v>348</v>
      </c>
      <c r="I329" s="45">
        <f t="shared" si="37"/>
        <v>348</v>
      </c>
    </row>
    <row r="330" spans="1:9" ht="17.25" customHeight="1">
      <c r="A330" s="107" t="s">
        <v>220</v>
      </c>
      <c r="B330" s="43" t="s">
        <v>797</v>
      </c>
      <c r="C330" s="43" t="s">
        <v>51</v>
      </c>
      <c r="D330" s="43" t="s">
        <v>63</v>
      </c>
      <c r="E330" s="43" t="s">
        <v>238</v>
      </c>
      <c r="F330" s="43"/>
      <c r="G330" s="59">
        <f t="shared" si="37"/>
        <v>408</v>
      </c>
      <c r="H330" s="45">
        <f t="shared" si="37"/>
        <v>348</v>
      </c>
      <c r="I330" s="45">
        <f t="shared" si="37"/>
        <v>348</v>
      </c>
    </row>
    <row r="331" spans="1:9" ht="19.5" customHeight="1">
      <c r="A331" s="107" t="s">
        <v>146</v>
      </c>
      <c r="B331" s="43" t="s">
        <v>797</v>
      </c>
      <c r="C331" s="43" t="s">
        <v>51</v>
      </c>
      <c r="D331" s="43" t="s">
        <v>63</v>
      </c>
      <c r="E331" s="43" t="s">
        <v>238</v>
      </c>
      <c r="F331" s="43" t="s">
        <v>145</v>
      </c>
      <c r="G331" s="59">
        <v>408</v>
      </c>
      <c r="H331" s="59">
        <v>348</v>
      </c>
      <c r="I331" s="59">
        <v>348</v>
      </c>
    </row>
    <row r="332" spans="1:9" ht="78.75">
      <c r="A332" s="40" t="s">
        <v>737</v>
      </c>
      <c r="B332" s="43" t="s">
        <v>797</v>
      </c>
      <c r="C332" s="43" t="s">
        <v>51</v>
      </c>
      <c r="D332" s="43" t="s">
        <v>63</v>
      </c>
      <c r="E332" s="43" t="s">
        <v>480</v>
      </c>
      <c r="F332" s="43"/>
      <c r="G332" s="94">
        <f>G333</f>
        <v>321</v>
      </c>
      <c r="H332" s="94">
        <f>H333</f>
        <v>321</v>
      </c>
      <c r="I332" s="94">
        <f>I333</f>
        <v>321</v>
      </c>
    </row>
    <row r="333" spans="1:9" ht="63">
      <c r="A333" s="40" t="s">
        <v>479</v>
      </c>
      <c r="B333" s="43" t="s">
        <v>797</v>
      </c>
      <c r="C333" s="43" t="s">
        <v>51</v>
      </c>
      <c r="D333" s="43" t="s">
        <v>63</v>
      </c>
      <c r="E333" s="43" t="s">
        <v>481</v>
      </c>
      <c r="F333" s="43"/>
      <c r="G333" s="59">
        <f>G334+G336</f>
        <v>321</v>
      </c>
      <c r="H333" s="59">
        <f>H334+H336</f>
        <v>321</v>
      </c>
      <c r="I333" s="59">
        <f>I334+I336</f>
        <v>321</v>
      </c>
    </row>
    <row r="334" spans="1:9" ht="31.5">
      <c r="A334" s="40" t="s">
        <v>218</v>
      </c>
      <c r="B334" s="43" t="s">
        <v>797</v>
      </c>
      <c r="C334" s="43" t="s">
        <v>51</v>
      </c>
      <c r="D334" s="43" t="s">
        <v>63</v>
      </c>
      <c r="E334" s="43" t="s">
        <v>482</v>
      </c>
      <c r="F334" s="43"/>
      <c r="G334" s="59">
        <f>G335</f>
        <v>306</v>
      </c>
      <c r="H334" s="45">
        <f>H335</f>
        <v>306</v>
      </c>
      <c r="I334" s="45">
        <f>I335</f>
        <v>306</v>
      </c>
    </row>
    <row r="335" spans="1:9" ht="63">
      <c r="A335" s="40" t="s">
        <v>147</v>
      </c>
      <c r="B335" s="43" t="s">
        <v>797</v>
      </c>
      <c r="C335" s="43" t="s">
        <v>51</v>
      </c>
      <c r="D335" s="43" t="s">
        <v>63</v>
      </c>
      <c r="E335" s="43" t="s">
        <v>482</v>
      </c>
      <c r="F335" s="43" t="s">
        <v>219</v>
      </c>
      <c r="G335" s="94">
        <f>271+35</f>
        <v>306</v>
      </c>
      <c r="H335" s="94">
        <f>271+35</f>
        <v>306</v>
      </c>
      <c r="I335" s="94">
        <f>271+35</f>
        <v>306</v>
      </c>
    </row>
    <row r="336" spans="1:9" ht="31.5">
      <c r="A336" s="37" t="s">
        <v>937</v>
      </c>
      <c r="B336" s="43" t="s">
        <v>797</v>
      </c>
      <c r="C336" s="43" t="s">
        <v>51</v>
      </c>
      <c r="D336" s="43" t="s">
        <v>63</v>
      </c>
      <c r="E336" s="43" t="s">
        <v>483</v>
      </c>
      <c r="F336" s="43"/>
      <c r="G336" s="59">
        <f>G337</f>
        <v>15</v>
      </c>
      <c r="H336" s="45">
        <f>H337</f>
        <v>15</v>
      </c>
      <c r="I336" s="45">
        <f>I337</f>
        <v>15</v>
      </c>
    </row>
    <row r="337" spans="1:9" ht="47.25">
      <c r="A337" s="40" t="s">
        <v>20</v>
      </c>
      <c r="B337" s="43" t="s">
        <v>797</v>
      </c>
      <c r="C337" s="43" t="s">
        <v>51</v>
      </c>
      <c r="D337" s="43" t="s">
        <v>63</v>
      </c>
      <c r="E337" s="43" t="s">
        <v>483</v>
      </c>
      <c r="F337" s="43" t="s">
        <v>100</v>
      </c>
      <c r="G337" s="59">
        <v>15</v>
      </c>
      <c r="H337" s="59">
        <v>15</v>
      </c>
      <c r="I337" s="59">
        <v>15</v>
      </c>
    </row>
    <row r="338" spans="1:9" ht="78.75">
      <c r="A338" s="40" t="s">
        <v>687</v>
      </c>
      <c r="B338" s="43" t="s">
        <v>797</v>
      </c>
      <c r="C338" s="43" t="s">
        <v>51</v>
      </c>
      <c r="D338" s="43" t="s">
        <v>63</v>
      </c>
      <c r="E338" s="43" t="s">
        <v>566</v>
      </c>
      <c r="F338" s="43"/>
      <c r="G338" s="94">
        <f>G339+G350</f>
        <v>23951.1</v>
      </c>
      <c r="H338" s="94">
        <f>H339+H350</f>
        <v>23526.9</v>
      </c>
      <c r="I338" s="94">
        <f>I339+I350</f>
        <v>23535.1</v>
      </c>
    </row>
    <row r="339" spans="1:9" ht="47.25">
      <c r="A339" s="40" t="s">
        <v>692</v>
      </c>
      <c r="B339" s="43" t="s">
        <v>797</v>
      </c>
      <c r="C339" s="43" t="s">
        <v>51</v>
      </c>
      <c r="D339" s="43" t="s">
        <v>63</v>
      </c>
      <c r="E339" s="43" t="s">
        <v>580</v>
      </c>
      <c r="F339" s="74"/>
      <c r="G339" s="94">
        <f>G340</f>
        <v>4566.099999999999</v>
      </c>
      <c r="H339" s="94">
        <f>H340</f>
        <v>4136.9</v>
      </c>
      <c r="I339" s="94">
        <f>I340</f>
        <v>4145.099999999999</v>
      </c>
    </row>
    <row r="340" spans="1:9" ht="47.25">
      <c r="A340" s="40" t="s">
        <v>693</v>
      </c>
      <c r="B340" s="43" t="s">
        <v>797</v>
      </c>
      <c r="C340" s="43" t="s">
        <v>51</v>
      </c>
      <c r="D340" s="43" t="s">
        <v>63</v>
      </c>
      <c r="E340" s="43" t="s">
        <v>587</v>
      </c>
      <c r="F340" s="74"/>
      <c r="G340" s="94">
        <f>G341+G345+G347</f>
        <v>4566.099999999999</v>
      </c>
      <c r="H340" s="94">
        <f>H341+H345+H347</f>
        <v>4136.9</v>
      </c>
      <c r="I340" s="94">
        <f>I341+I345+I347</f>
        <v>4145.099999999999</v>
      </c>
    </row>
    <row r="341" spans="1:9" ht="31.5">
      <c r="A341" s="37" t="s">
        <v>694</v>
      </c>
      <c r="B341" s="43" t="s">
        <v>797</v>
      </c>
      <c r="C341" s="43" t="s">
        <v>51</v>
      </c>
      <c r="D341" s="43" t="s">
        <v>63</v>
      </c>
      <c r="E341" s="43" t="s">
        <v>588</v>
      </c>
      <c r="F341" s="43"/>
      <c r="G341" s="59">
        <f>G343+G342+G344</f>
        <v>600</v>
      </c>
      <c r="H341" s="59">
        <f>H343+H342+H344</f>
        <v>600</v>
      </c>
      <c r="I341" s="59">
        <f>I343+I342+I344</f>
        <v>600</v>
      </c>
    </row>
    <row r="342" spans="1:9" ht="31.5">
      <c r="A342" s="37" t="s">
        <v>229</v>
      </c>
      <c r="B342" s="43" t="s">
        <v>797</v>
      </c>
      <c r="C342" s="43" t="s">
        <v>51</v>
      </c>
      <c r="D342" s="43" t="s">
        <v>63</v>
      </c>
      <c r="E342" s="43" t="s">
        <v>588</v>
      </c>
      <c r="F342" s="43" t="s">
        <v>230</v>
      </c>
      <c r="G342" s="94">
        <v>156</v>
      </c>
      <c r="H342" s="94">
        <v>156</v>
      </c>
      <c r="I342" s="94">
        <v>156</v>
      </c>
    </row>
    <row r="343" spans="1:9" ht="47.25">
      <c r="A343" s="40" t="s">
        <v>20</v>
      </c>
      <c r="B343" s="43" t="s">
        <v>797</v>
      </c>
      <c r="C343" s="43" t="s">
        <v>51</v>
      </c>
      <c r="D343" s="43" t="s">
        <v>63</v>
      </c>
      <c r="E343" s="43" t="s">
        <v>588</v>
      </c>
      <c r="F343" s="43" t="s">
        <v>100</v>
      </c>
      <c r="G343" s="94">
        <v>361</v>
      </c>
      <c r="H343" s="94">
        <v>361</v>
      </c>
      <c r="I343" s="94">
        <v>361</v>
      </c>
    </row>
    <row r="344" spans="1:9" ht="31.5">
      <c r="A344" s="40" t="s">
        <v>21</v>
      </c>
      <c r="B344" s="43" t="s">
        <v>797</v>
      </c>
      <c r="C344" s="43" t="s">
        <v>51</v>
      </c>
      <c r="D344" s="43" t="s">
        <v>63</v>
      </c>
      <c r="E344" s="43" t="s">
        <v>588</v>
      </c>
      <c r="F344" s="43" t="s">
        <v>101</v>
      </c>
      <c r="G344" s="94">
        <v>83</v>
      </c>
      <c r="H344" s="94">
        <v>83</v>
      </c>
      <c r="I344" s="94">
        <v>83</v>
      </c>
    </row>
    <row r="345" spans="1:9" ht="63">
      <c r="A345" s="40" t="s">
        <v>462</v>
      </c>
      <c r="B345" s="43" t="s">
        <v>797</v>
      </c>
      <c r="C345" s="43" t="s">
        <v>51</v>
      </c>
      <c r="D345" s="43" t="s">
        <v>63</v>
      </c>
      <c r="E345" s="43" t="s">
        <v>589</v>
      </c>
      <c r="F345" s="43"/>
      <c r="G345" s="59">
        <f>G346</f>
        <v>94.3</v>
      </c>
      <c r="H345" s="59">
        <f>H346</f>
        <v>102.2</v>
      </c>
      <c r="I345" s="59">
        <f>I346</f>
        <v>110.4</v>
      </c>
    </row>
    <row r="346" spans="1:9" ht="31.5">
      <c r="A346" s="37" t="s">
        <v>229</v>
      </c>
      <c r="B346" s="43" t="s">
        <v>797</v>
      </c>
      <c r="C346" s="43" t="s">
        <v>51</v>
      </c>
      <c r="D346" s="43" t="s">
        <v>63</v>
      </c>
      <c r="E346" s="43" t="s">
        <v>589</v>
      </c>
      <c r="F346" s="43" t="s">
        <v>230</v>
      </c>
      <c r="G346" s="94">
        <v>94.3</v>
      </c>
      <c r="H346" s="94">
        <v>102.2</v>
      </c>
      <c r="I346" s="94">
        <v>110.4</v>
      </c>
    </row>
    <row r="347" spans="1:9" ht="164.25" customHeight="1">
      <c r="A347" s="37" t="s">
        <v>144</v>
      </c>
      <c r="B347" s="43" t="s">
        <v>797</v>
      </c>
      <c r="C347" s="43" t="s">
        <v>51</v>
      </c>
      <c r="D347" s="43" t="s">
        <v>63</v>
      </c>
      <c r="E347" s="43" t="s">
        <v>590</v>
      </c>
      <c r="F347" s="43"/>
      <c r="G347" s="59">
        <f>G348+G349</f>
        <v>3871.7999999999997</v>
      </c>
      <c r="H347" s="45">
        <f>H348+H349</f>
        <v>3434.7</v>
      </c>
      <c r="I347" s="45">
        <f>I348+I349</f>
        <v>3434.7</v>
      </c>
    </row>
    <row r="348" spans="1:9" ht="31.5">
      <c r="A348" s="37" t="s">
        <v>229</v>
      </c>
      <c r="B348" s="43" t="s">
        <v>797</v>
      </c>
      <c r="C348" s="43" t="s">
        <v>51</v>
      </c>
      <c r="D348" s="43" t="s">
        <v>63</v>
      </c>
      <c r="E348" s="43" t="s">
        <v>590</v>
      </c>
      <c r="F348" s="43" t="s">
        <v>230</v>
      </c>
      <c r="G348" s="94">
        <v>3473.7999999999997</v>
      </c>
      <c r="H348" s="94">
        <v>3191.7</v>
      </c>
      <c r="I348" s="94">
        <v>3191.7</v>
      </c>
    </row>
    <row r="349" spans="1:9" ht="47.25">
      <c r="A349" s="40" t="s">
        <v>20</v>
      </c>
      <c r="B349" s="43" t="s">
        <v>797</v>
      </c>
      <c r="C349" s="43" t="s">
        <v>51</v>
      </c>
      <c r="D349" s="43" t="s">
        <v>63</v>
      </c>
      <c r="E349" s="43" t="s">
        <v>590</v>
      </c>
      <c r="F349" s="43" t="s">
        <v>100</v>
      </c>
      <c r="G349" s="94">
        <v>398</v>
      </c>
      <c r="H349" s="94">
        <v>243</v>
      </c>
      <c r="I349" s="94">
        <v>243</v>
      </c>
    </row>
    <row r="350" spans="1:9" ht="94.5">
      <c r="A350" s="87" t="s">
        <v>698</v>
      </c>
      <c r="B350" s="43" t="s">
        <v>797</v>
      </c>
      <c r="C350" s="43" t="s">
        <v>51</v>
      </c>
      <c r="D350" s="43" t="s">
        <v>63</v>
      </c>
      <c r="E350" s="43" t="s">
        <v>675</v>
      </c>
      <c r="F350" s="74"/>
      <c r="G350" s="94">
        <f>G351</f>
        <v>19385</v>
      </c>
      <c r="H350" s="94">
        <f>H351</f>
        <v>19390</v>
      </c>
      <c r="I350" s="94">
        <f>I351</f>
        <v>19390</v>
      </c>
    </row>
    <row r="351" spans="1:9" ht="94.5">
      <c r="A351" s="40" t="s">
        <v>699</v>
      </c>
      <c r="B351" s="43" t="s">
        <v>797</v>
      </c>
      <c r="C351" s="43" t="s">
        <v>51</v>
      </c>
      <c r="D351" s="43" t="s">
        <v>63</v>
      </c>
      <c r="E351" s="43" t="s">
        <v>676</v>
      </c>
      <c r="F351" s="74"/>
      <c r="G351" s="94">
        <f>G352+G356</f>
        <v>19385</v>
      </c>
      <c r="H351" s="94">
        <f>H352+H356</f>
        <v>19390</v>
      </c>
      <c r="I351" s="94">
        <f>I352+I356</f>
        <v>19390</v>
      </c>
    </row>
    <row r="352" spans="1:9" ht="47.25">
      <c r="A352" s="37" t="s">
        <v>984</v>
      </c>
      <c r="B352" s="43" t="s">
        <v>797</v>
      </c>
      <c r="C352" s="43" t="s">
        <v>51</v>
      </c>
      <c r="D352" s="43" t="s">
        <v>63</v>
      </c>
      <c r="E352" s="43" t="s">
        <v>677</v>
      </c>
      <c r="F352" s="43"/>
      <c r="G352" s="94">
        <f>G353+G354+G355</f>
        <v>13767.2</v>
      </c>
      <c r="H352" s="94">
        <f>H353+H354+H355</f>
        <v>13772.2</v>
      </c>
      <c r="I352" s="94">
        <f>I353+I354+I355</f>
        <v>13772.2</v>
      </c>
    </row>
    <row r="353" spans="1:9" ht="31.5">
      <c r="A353" s="37" t="s">
        <v>229</v>
      </c>
      <c r="B353" s="43" t="s">
        <v>797</v>
      </c>
      <c r="C353" s="43" t="s">
        <v>51</v>
      </c>
      <c r="D353" s="43" t="s">
        <v>63</v>
      </c>
      <c r="E353" s="43" t="s">
        <v>677</v>
      </c>
      <c r="F353" s="43" t="s">
        <v>230</v>
      </c>
      <c r="G353" s="94">
        <f>17950-5617.8</f>
        <v>12332.2</v>
      </c>
      <c r="H353" s="94">
        <f>17950-5617.8</f>
        <v>12332.2</v>
      </c>
      <c r="I353" s="94">
        <f>17950-5617.8</f>
        <v>12332.2</v>
      </c>
    </row>
    <row r="354" spans="1:9" ht="47.25">
      <c r="A354" s="40" t="s">
        <v>20</v>
      </c>
      <c r="B354" s="43" t="s">
        <v>797</v>
      </c>
      <c r="C354" s="43" t="s">
        <v>51</v>
      </c>
      <c r="D354" s="43" t="s">
        <v>63</v>
      </c>
      <c r="E354" s="43" t="s">
        <v>677</v>
      </c>
      <c r="F354" s="43" t="s">
        <v>100</v>
      </c>
      <c r="G354" s="94">
        <v>1425</v>
      </c>
      <c r="H354" s="94">
        <v>1430</v>
      </c>
      <c r="I354" s="94">
        <v>1430</v>
      </c>
    </row>
    <row r="355" spans="1:9" ht="31.5">
      <c r="A355" s="40" t="s">
        <v>21</v>
      </c>
      <c r="B355" s="43" t="s">
        <v>797</v>
      </c>
      <c r="C355" s="43" t="s">
        <v>51</v>
      </c>
      <c r="D355" s="43" t="s">
        <v>63</v>
      </c>
      <c r="E355" s="43" t="s">
        <v>677</v>
      </c>
      <c r="F355" s="43" t="s">
        <v>101</v>
      </c>
      <c r="G355" s="94">
        <v>10</v>
      </c>
      <c r="H355" s="94">
        <v>10</v>
      </c>
      <c r="I355" s="94">
        <v>10</v>
      </c>
    </row>
    <row r="356" spans="1:9" ht="63">
      <c r="A356" s="40" t="s">
        <v>462</v>
      </c>
      <c r="B356" s="43" t="s">
        <v>797</v>
      </c>
      <c r="C356" s="43" t="s">
        <v>51</v>
      </c>
      <c r="D356" s="43" t="s">
        <v>63</v>
      </c>
      <c r="E356" s="43" t="s">
        <v>678</v>
      </c>
      <c r="F356" s="43"/>
      <c r="G356" s="94">
        <f>G357</f>
        <v>5617.8</v>
      </c>
      <c r="H356" s="94">
        <f>H357</f>
        <v>5617.8</v>
      </c>
      <c r="I356" s="94">
        <f>I357</f>
        <v>5617.8</v>
      </c>
    </row>
    <row r="357" spans="1:9" ht="31.5">
      <c r="A357" s="37" t="s">
        <v>229</v>
      </c>
      <c r="B357" s="43" t="s">
        <v>797</v>
      </c>
      <c r="C357" s="43" t="s">
        <v>51</v>
      </c>
      <c r="D357" s="43" t="s">
        <v>63</v>
      </c>
      <c r="E357" s="43" t="s">
        <v>678</v>
      </c>
      <c r="F357" s="43" t="s">
        <v>230</v>
      </c>
      <c r="G357" s="94">
        <v>5617.8</v>
      </c>
      <c r="H357" s="94">
        <v>5617.8</v>
      </c>
      <c r="I357" s="94">
        <v>5617.8</v>
      </c>
    </row>
    <row r="358" spans="1:9" ht="15.75">
      <c r="A358" s="40" t="s">
        <v>214</v>
      </c>
      <c r="B358" s="43" t="s">
        <v>797</v>
      </c>
      <c r="C358" s="43" t="s">
        <v>51</v>
      </c>
      <c r="D358" s="43" t="s">
        <v>63</v>
      </c>
      <c r="E358" s="43" t="s">
        <v>372</v>
      </c>
      <c r="F358" s="43"/>
      <c r="G358" s="59">
        <f aca="true" t="shared" si="38" ref="G358:I359">G359</f>
        <v>37.2</v>
      </c>
      <c r="H358" s="45">
        <f t="shared" si="38"/>
        <v>0</v>
      </c>
      <c r="I358" s="45">
        <f t="shared" si="38"/>
        <v>0</v>
      </c>
    </row>
    <row r="359" spans="1:9" ht="15.75">
      <c r="A359" s="40" t="s">
        <v>215</v>
      </c>
      <c r="B359" s="43" t="s">
        <v>797</v>
      </c>
      <c r="C359" s="43" t="s">
        <v>51</v>
      </c>
      <c r="D359" s="43" t="s">
        <v>63</v>
      </c>
      <c r="E359" s="43" t="s">
        <v>373</v>
      </c>
      <c r="F359" s="43"/>
      <c r="G359" s="59">
        <f t="shared" si="38"/>
        <v>37.2</v>
      </c>
      <c r="H359" s="45">
        <f t="shared" si="38"/>
        <v>0</v>
      </c>
      <c r="I359" s="45">
        <f t="shared" si="38"/>
        <v>0</v>
      </c>
    </row>
    <row r="360" spans="1:9" ht="47.25">
      <c r="A360" s="40" t="s">
        <v>20</v>
      </c>
      <c r="B360" s="43" t="s">
        <v>797</v>
      </c>
      <c r="C360" s="43" t="s">
        <v>51</v>
      </c>
      <c r="D360" s="43" t="s">
        <v>63</v>
      </c>
      <c r="E360" s="43" t="s">
        <v>373</v>
      </c>
      <c r="F360" s="43" t="s">
        <v>100</v>
      </c>
      <c r="G360" s="59">
        <v>37.2</v>
      </c>
      <c r="H360" s="59">
        <v>0</v>
      </c>
      <c r="I360" s="59">
        <v>0</v>
      </c>
    </row>
    <row r="361" spans="1:9" ht="31.5">
      <c r="A361" s="37" t="s">
        <v>225</v>
      </c>
      <c r="B361" s="43" t="s">
        <v>797</v>
      </c>
      <c r="C361" s="43" t="s">
        <v>51</v>
      </c>
      <c r="D361" s="43" t="s">
        <v>63</v>
      </c>
      <c r="E361" s="43" t="s">
        <v>294</v>
      </c>
      <c r="F361" s="43"/>
      <c r="G361" s="59">
        <f>G362+G364+G366</f>
        <v>645.5</v>
      </c>
      <c r="H361" s="59">
        <f>H362+H364</f>
        <v>291</v>
      </c>
      <c r="I361" s="59">
        <f>I362+I364</f>
        <v>291</v>
      </c>
    </row>
    <row r="362" spans="1:9" ht="47.25">
      <c r="A362" s="37" t="s">
        <v>226</v>
      </c>
      <c r="B362" s="43" t="s">
        <v>797</v>
      </c>
      <c r="C362" s="43" t="s">
        <v>51</v>
      </c>
      <c r="D362" s="43" t="s">
        <v>63</v>
      </c>
      <c r="E362" s="43" t="s">
        <v>295</v>
      </c>
      <c r="F362" s="43"/>
      <c r="G362" s="59">
        <f>G363</f>
        <v>150</v>
      </c>
      <c r="H362" s="45">
        <f>H363</f>
        <v>100</v>
      </c>
      <c r="I362" s="45">
        <f>I363</f>
        <v>100</v>
      </c>
    </row>
    <row r="363" spans="1:9" ht="31.5">
      <c r="A363" s="40" t="s">
        <v>21</v>
      </c>
      <c r="B363" s="43" t="s">
        <v>797</v>
      </c>
      <c r="C363" s="43" t="s">
        <v>51</v>
      </c>
      <c r="D363" s="43" t="s">
        <v>63</v>
      </c>
      <c r="E363" s="43" t="s">
        <v>295</v>
      </c>
      <c r="F363" s="43" t="s">
        <v>101</v>
      </c>
      <c r="G363" s="59">
        <v>150</v>
      </c>
      <c r="H363" s="59">
        <v>100</v>
      </c>
      <c r="I363" s="59">
        <v>100</v>
      </c>
    </row>
    <row r="364" spans="1:9" ht="15.75">
      <c r="A364" s="40" t="s">
        <v>143</v>
      </c>
      <c r="B364" s="43" t="s">
        <v>797</v>
      </c>
      <c r="C364" s="43" t="s">
        <v>51</v>
      </c>
      <c r="D364" s="43" t="s">
        <v>63</v>
      </c>
      <c r="E364" s="43" t="s">
        <v>268</v>
      </c>
      <c r="F364" s="43"/>
      <c r="G364" s="59">
        <f>G365</f>
        <v>211</v>
      </c>
      <c r="H364" s="45">
        <f>H365</f>
        <v>191</v>
      </c>
      <c r="I364" s="45">
        <f>I365</f>
        <v>191</v>
      </c>
    </row>
    <row r="365" spans="1:9" ht="47.25">
      <c r="A365" s="40" t="s">
        <v>20</v>
      </c>
      <c r="B365" s="43" t="s">
        <v>797</v>
      </c>
      <c r="C365" s="43" t="s">
        <v>51</v>
      </c>
      <c r="D365" s="43" t="s">
        <v>63</v>
      </c>
      <c r="E365" s="43" t="s">
        <v>268</v>
      </c>
      <c r="F365" s="43" t="s">
        <v>100</v>
      </c>
      <c r="G365" s="59">
        <v>211</v>
      </c>
      <c r="H365" s="59">
        <f>241-50</f>
        <v>191</v>
      </c>
      <c r="I365" s="59">
        <f>241-50</f>
        <v>191</v>
      </c>
    </row>
    <row r="366" spans="1:9" ht="39" customHeight="1">
      <c r="A366" s="40" t="s">
        <v>225</v>
      </c>
      <c r="B366" s="43" t="s">
        <v>797</v>
      </c>
      <c r="C366" s="43" t="s">
        <v>51</v>
      </c>
      <c r="D366" s="43" t="s">
        <v>63</v>
      </c>
      <c r="E366" s="43" t="s">
        <v>1011</v>
      </c>
      <c r="F366" s="43"/>
      <c r="G366" s="59">
        <f>G367+G368</f>
        <v>284.5</v>
      </c>
      <c r="H366" s="59"/>
      <c r="I366" s="59"/>
    </row>
    <row r="367" spans="1:9" ht="15.75">
      <c r="A367" s="40" t="s">
        <v>992</v>
      </c>
      <c r="B367" s="43" t="s">
        <v>797</v>
      </c>
      <c r="C367" s="43" t="s">
        <v>51</v>
      </c>
      <c r="D367" s="43" t="s">
        <v>63</v>
      </c>
      <c r="E367" s="43" t="s">
        <v>1011</v>
      </c>
      <c r="F367" s="43" t="s">
        <v>991</v>
      </c>
      <c r="G367" s="59">
        <v>163.29999999999998</v>
      </c>
      <c r="H367" s="59"/>
      <c r="I367" s="59"/>
    </row>
    <row r="368" spans="1:9" ht="31.5">
      <c r="A368" s="40" t="s">
        <v>21</v>
      </c>
      <c r="B368" s="43" t="s">
        <v>797</v>
      </c>
      <c r="C368" s="43" t="s">
        <v>51</v>
      </c>
      <c r="D368" s="43" t="s">
        <v>63</v>
      </c>
      <c r="E368" s="43" t="s">
        <v>1011</v>
      </c>
      <c r="F368" s="43" t="s">
        <v>101</v>
      </c>
      <c r="G368" s="59">
        <v>121.2</v>
      </c>
      <c r="H368" s="59"/>
      <c r="I368" s="59"/>
    </row>
    <row r="369" spans="1:9" ht="15.75">
      <c r="A369" s="37" t="s">
        <v>227</v>
      </c>
      <c r="B369" s="43" t="s">
        <v>797</v>
      </c>
      <c r="C369" s="43" t="s">
        <v>51</v>
      </c>
      <c r="D369" s="43" t="s">
        <v>63</v>
      </c>
      <c r="E369" s="43" t="s">
        <v>296</v>
      </c>
      <c r="F369" s="43"/>
      <c r="G369" s="59">
        <f aca="true" t="shared" si="39" ref="G369:I370">G370</f>
        <v>845.1</v>
      </c>
      <c r="H369" s="59">
        <f t="shared" si="39"/>
        <v>830.1</v>
      </c>
      <c r="I369" s="59">
        <f t="shared" si="39"/>
        <v>845.1</v>
      </c>
    </row>
    <row r="370" spans="1:9" ht="31.5">
      <c r="A370" s="37" t="s">
        <v>228</v>
      </c>
      <c r="B370" s="43" t="s">
        <v>797</v>
      </c>
      <c r="C370" s="43" t="s">
        <v>51</v>
      </c>
      <c r="D370" s="43" t="s">
        <v>63</v>
      </c>
      <c r="E370" s="43" t="s">
        <v>297</v>
      </c>
      <c r="F370" s="43"/>
      <c r="G370" s="59">
        <f t="shared" si="39"/>
        <v>845.1</v>
      </c>
      <c r="H370" s="45">
        <f t="shared" si="39"/>
        <v>830.1</v>
      </c>
      <c r="I370" s="45">
        <f t="shared" si="39"/>
        <v>845.1</v>
      </c>
    </row>
    <row r="371" spans="1:9" ht="47.25">
      <c r="A371" s="40" t="s">
        <v>20</v>
      </c>
      <c r="B371" s="43" t="s">
        <v>797</v>
      </c>
      <c r="C371" s="43" t="s">
        <v>51</v>
      </c>
      <c r="D371" s="43" t="s">
        <v>63</v>
      </c>
      <c r="E371" s="43" t="s">
        <v>297</v>
      </c>
      <c r="F371" s="43" t="s">
        <v>100</v>
      </c>
      <c r="G371" s="59">
        <v>845.1</v>
      </c>
      <c r="H371" s="59">
        <v>830.1</v>
      </c>
      <c r="I371" s="59">
        <v>845.1</v>
      </c>
    </row>
    <row r="372" spans="1:9" ht="15.75">
      <c r="A372" s="25" t="s">
        <v>838</v>
      </c>
      <c r="B372" s="43" t="s">
        <v>797</v>
      </c>
      <c r="C372" s="43" t="s">
        <v>52</v>
      </c>
      <c r="D372" s="43"/>
      <c r="E372" s="43"/>
      <c r="F372" s="43"/>
      <c r="G372" s="59">
        <f aca="true" t="shared" si="40" ref="G372:I374">G373</f>
        <v>349.29999999999995</v>
      </c>
      <c r="H372" s="59">
        <f t="shared" si="40"/>
        <v>374.2</v>
      </c>
      <c r="I372" s="59">
        <f t="shared" si="40"/>
        <v>386.4</v>
      </c>
    </row>
    <row r="373" spans="1:9" ht="31.5">
      <c r="A373" s="40" t="s">
        <v>839</v>
      </c>
      <c r="B373" s="43" t="s">
        <v>797</v>
      </c>
      <c r="C373" s="43" t="s">
        <v>52</v>
      </c>
      <c r="D373" s="43" t="s">
        <v>54</v>
      </c>
      <c r="E373" s="43"/>
      <c r="F373" s="43"/>
      <c r="G373" s="59">
        <f t="shared" si="40"/>
        <v>349.29999999999995</v>
      </c>
      <c r="H373" s="59">
        <f t="shared" si="40"/>
        <v>374.2</v>
      </c>
      <c r="I373" s="59">
        <f t="shared" si="40"/>
        <v>386.4</v>
      </c>
    </row>
    <row r="374" spans="1:9" ht="78.75">
      <c r="A374" s="40" t="s">
        <v>687</v>
      </c>
      <c r="B374" s="43" t="s">
        <v>797</v>
      </c>
      <c r="C374" s="43" t="s">
        <v>52</v>
      </c>
      <c r="D374" s="43" t="s">
        <v>54</v>
      </c>
      <c r="E374" s="43" t="s">
        <v>566</v>
      </c>
      <c r="F374" s="43"/>
      <c r="G374" s="59">
        <f t="shared" si="40"/>
        <v>349.29999999999995</v>
      </c>
      <c r="H374" s="59">
        <f t="shared" si="40"/>
        <v>374.2</v>
      </c>
      <c r="I374" s="59">
        <f t="shared" si="40"/>
        <v>386.4</v>
      </c>
    </row>
    <row r="375" spans="1:9" ht="47.25">
      <c r="A375" s="40" t="s">
        <v>688</v>
      </c>
      <c r="B375" s="43" t="s">
        <v>797</v>
      </c>
      <c r="C375" s="43" t="s">
        <v>52</v>
      </c>
      <c r="D375" s="43" t="s">
        <v>54</v>
      </c>
      <c r="E375" s="43" t="s">
        <v>578</v>
      </c>
      <c r="F375" s="43"/>
      <c r="G375" s="45">
        <f aca="true" t="shared" si="41" ref="G375:I377">G376</f>
        <v>349.29999999999995</v>
      </c>
      <c r="H375" s="45">
        <f t="shared" si="41"/>
        <v>374.2</v>
      </c>
      <c r="I375" s="45">
        <f t="shared" si="41"/>
        <v>386.4</v>
      </c>
    </row>
    <row r="376" spans="1:9" ht="47.25">
      <c r="A376" s="40" t="s">
        <v>689</v>
      </c>
      <c r="B376" s="43" t="s">
        <v>797</v>
      </c>
      <c r="C376" s="43" t="s">
        <v>52</v>
      </c>
      <c r="D376" s="43" t="s">
        <v>54</v>
      </c>
      <c r="E376" s="43" t="s">
        <v>582</v>
      </c>
      <c r="F376" s="43"/>
      <c r="G376" s="45">
        <f t="shared" si="41"/>
        <v>349.29999999999995</v>
      </c>
      <c r="H376" s="45">
        <f t="shared" si="41"/>
        <v>374.2</v>
      </c>
      <c r="I376" s="45">
        <f t="shared" si="41"/>
        <v>386.4</v>
      </c>
    </row>
    <row r="377" spans="1:9" ht="75" customHeight="1">
      <c r="A377" s="40" t="s">
        <v>960</v>
      </c>
      <c r="B377" s="43" t="s">
        <v>797</v>
      </c>
      <c r="C377" s="43" t="s">
        <v>52</v>
      </c>
      <c r="D377" s="43" t="s">
        <v>54</v>
      </c>
      <c r="E377" s="43" t="s">
        <v>891</v>
      </c>
      <c r="F377" s="43"/>
      <c r="G377" s="94">
        <f>G378</f>
        <v>349.29999999999995</v>
      </c>
      <c r="H377" s="94">
        <f t="shared" si="41"/>
        <v>374.2</v>
      </c>
      <c r="I377" s="94">
        <f t="shared" si="41"/>
        <v>386.4</v>
      </c>
    </row>
    <row r="378" spans="1:9" ht="47.25">
      <c r="A378" s="40" t="s">
        <v>96</v>
      </c>
      <c r="B378" s="43" t="s">
        <v>797</v>
      </c>
      <c r="C378" s="43" t="s">
        <v>52</v>
      </c>
      <c r="D378" s="43" t="s">
        <v>54</v>
      </c>
      <c r="E378" s="43" t="s">
        <v>891</v>
      </c>
      <c r="F378" s="43" t="s">
        <v>97</v>
      </c>
      <c r="G378" s="94">
        <f>359.4-10.1</f>
        <v>349.29999999999995</v>
      </c>
      <c r="H378" s="94">
        <f>359.4+14.8</f>
        <v>374.2</v>
      </c>
      <c r="I378" s="94">
        <f>359.4+27</f>
        <v>386.4</v>
      </c>
    </row>
    <row r="379" spans="1:9" ht="31.5">
      <c r="A379" s="40" t="s">
        <v>64</v>
      </c>
      <c r="B379" s="43" t="s">
        <v>797</v>
      </c>
      <c r="C379" s="43" t="s">
        <v>54</v>
      </c>
      <c r="D379" s="43"/>
      <c r="E379" s="43"/>
      <c r="F379" s="43"/>
      <c r="G379" s="59">
        <f>G380+G414+G386</f>
        <v>7666.8</v>
      </c>
      <c r="H379" s="59">
        <f>H380+H414+H386</f>
        <v>5515.8</v>
      </c>
      <c r="I379" s="59">
        <f>I380+I414+I386</f>
        <v>5515.8</v>
      </c>
    </row>
    <row r="380" spans="1:9" ht="15.75">
      <c r="A380" s="40" t="s">
        <v>506</v>
      </c>
      <c r="B380" s="43" t="s">
        <v>797</v>
      </c>
      <c r="C380" s="43" t="s">
        <v>54</v>
      </c>
      <c r="D380" s="43" t="s">
        <v>65</v>
      </c>
      <c r="E380" s="43"/>
      <c r="F380" s="43"/>
      <c r="G380" s="59">
        <f>G383</f>
        <v>575</v>
      </c>
      <c r="H380" s="59">
        <f>H383</f>
        <v>575</v>
      </c>
      <c r="I380" s="59">
        <f>I383</f>
        <v>575</v>
      </c>
    </row>
    <row r="381" spans="1:9" ht="173.25">
      <c r="A381" s="40" t="s">
        <v>799</v>
      </c>
      <c r="B381" s="43" t="s">
        <v>797</v>
      </c>
      <c r="C381" s="43" t="s">
        <v>54</v>
      </c>
      <c r="D381" s="43" t="s">
        <v>65</v>
      </c>
      <c r="E381" s="43" t="s">
        <v>564</v>
      </c>
      <c r="F381" s="43"/>
      <c r="G381" s="59">
        <f aca="true" t="shared" si="42" ref="G381:I382">G382</f>
        <v>575</v>
      </c>
      <c r="H381" s="59">
        <f t="shared" si="42"/>
        <v>575</v>
      </c>
      <c r="I381" s="59">
        <f t="shared" si="42"/>
        <v>575</v>
      </c>
    </row>
    <row r="382" spans="1:9" ht="126">
      <c r="A382" s="40" t="s">
        <v>824</v>
      </c>
      <c r="B382" s="43" t="s">
        <v>797</v>
      </c>
      <c r="C382" s="43" t="s">
        <v>54</v>
      </c>
      <c r="D382" s="43" t="s">
        <v>65</v>
      </c>
      <c r="E382" s="43" t="s">
        <v>800</v>
      </c>
      <c r="F382" s="43"/>
      <c r="G382" s="59">
        <f t="shared" si="42"/>
        <v>575</v>
      </c>
      <c r="H382" s="59">
        <f t="shared" si="42"/>
        <v>575</v>
      </c>
      <c r="I382" s="59">
        <f t="shared" si="42"/>
        <v>575</v>
      </c>
    </row>
    <row r="383" spans="1:9" ht="75" customHeight="1">
      <c r="A383" s="40" t="s">
        <v>812</v>
      </c>
      <c r="B383" s="43" t="s">
        <v>797</v>
      </c>
      <c r="C383" s="43" t="s">
        <v>54</v>
      </c>
      <c r="D383" s="43" t="s">
        <v>65</v>
      </c>
      <c r="E383" s="43" t="s">
        <v>814</v>
      </c>
      <c r="F383" s="43"/>
      <c r="G383" s="59">
        <f aca="true" t="shared" si="43" ref="G383:I384">G384</f>
        <v>575</v>
      </c>
      <c r="H383" s="59">
        <f t="shared" si="43"/>
        <v>575</v>
      </c>
      <c r="I383" s="59">
        <f t="shared" si="43"/>
        <v>575</v>
      </c>
    </row>
    <row r="384" spans="1:9" ht="41.25" customHeight="1">
      <c r="A384" s="40" t="s">
        <v>508</v>
      </c>
      <c r="B384" s="43" t="s">
        <v>797</v>
      </c>
      <c r="C384" s="43" t="s">
        <v>54</v>
      </c>
      <c r="D384" s="43" t="s">
        <v>65</v>
      </c>
      <c r="E384" s="43" t="s">
        <v>813</v>
      </c>
      <c r="F384" s="43"/>
      <c r="G384" s="59">
        <f t="shared" si="43"/>
        <v>575</v>
      </c>
      <c r="H384" s="45">
        <f t="shared" si="43"/>
        <v>575</v>
      </c>
      <c r="I384" s="45">
        <f t="shared" si="43"/>
        <v>575</v>
      </c>
    </row>
    <row r="385" spans="1:9" ht="60" customHeight="1">
      <c r="A385" s="40" t="s">
        <v>20</v>
      </c>
      <c r="B385" s="43" t="s">
        <v>797</v>
      </c>
      <c r="C385" s="43" t="s">
        <v>54</v>
      </c>
      <c r="D385" s="43" t="s">
        <v>65</v>
      </c>
      <c r="E385" s="43" t="s">
        <v>813</v>
      </c>
      <c r="F385" s="43" t="s">
        <v>100</v>
      </c>
      <c r="G385" s="47">
        <v>575</v>
      </c>
      <c r="H385" s="47">
        <v>575</v>
      </c>
      <c r="I385" s="47">
        <v>575</v>
      </c>
    </row>
    <row r="386" spans="1:9" ht="71.25" customHeight="1">
      <c r="A386" s="40" t="s">
        <v>507</v>
      </c>
      <c r="B386" s="43" t="s">
        <v>797</v>
      </c>
      <c r="C386" s="43" t="s">
        <v>54</v>
      </c>
      <c r="D386" s="43" t="s">
        <v>86</v>
      </c>
      <c r="E386" s="43"/>
      <c r="F386" s="43"/>
      <c r="G386" s="59">
        <f>G387+G411</f>
        <v>7061.8</v>
      </c>
      <c r="H386" s="59">
        <f>H387+H411</f>
        <v>4910.8</v>
      </c>
      <c r="I386" s="59">
        <f>I387+I411</f>
        <v>4910.8</v>
      </c>
    </row>
    <row r="387" spans="1:9" ht="180" customHeight="1">
      <c r="A387" s="40" t="s">
        <v>799</v>
      </c>
      <c r="B387" s="43" t="s">
        <v>797</v>
      </c>
      <c r="C387" s="43" t="s">
        <v>54</v>
      </c>
      <c r="D387" s="43" t="s">
        <v>86</v>
      </c>
      <c r="E387" s="43" t="s">
        <v>564</v>
      </c>
      <c r="F387" s="74"/>
      <c r="G387" s="94">
        <f>G388+G407</f>
        <v>7061.8</v>
      </c>
      <c r="H387" s="94">
        <f>H388+H407</f>
        <v>4910.8</v>
      </c>
      <c r="I387" s="94">
        <f>I388+I407</f>
        <v>4910.8</v>
      </c>
    </row>
    <row r="388" spans="1:9" ht="126">
      <c r="A388" s="40" t="s">
        <v>824</v>
      </c>
      <c r="B388" s="43" t="s">
        <v>797</v>
      </c>
      <c r="C388" s="43" t="s">
        <v>54</v>
      </c>
      <c r="D388" s="43" t="s">
        <v>86</v>
      </c>
      <c r="E388" s="43" t="s">
        <v>800</v>
      </c>
      <c r="F388" s="74"/>
      <c r="G388" s="94">
        <f>G389+G392+G399+G402</f>
        <v>7041.8</v>
      </c>
      <c r="H388" s="94">
        <f>H389+H392+H399+H402</f>
        <v>4890.8</v>
      </c>
      <c r="I388" s="94">
        <f>I389+I392+I399+I402</f>
        <v>4890.8</v>
      </c>
    </row>
    <row r="389" spans="1:9" ht="78.75">
      <c r="A389" s="40" t="s">
        <v>808</v>
      </c>
      <c r="B389" s="43" t="s">
        <v>797</v>
      </c>
      <c r="C389" s="43" t="s">
        <v>54</v>
      </c>
      <c r="D389" s="43" t="s">
        <v>86</v>
      </c>
      <c r="E389" s="43" t="s">
        <v>807</v>
      </c>
      <c r="F389" s="74"/>
      <c r="G389" s="94">
        <f aca="true" t="shared" si="44" ref="G389:I390">G390</f>
        <v>800</v>
      </c>
      <c r="H389" s="94">
        <f>H390</f>
        <v>0</v>
      </c>
      <c r="I389" s="94">
        <f t="shared" si="44"/>
        <v>0</v>
      </c>
    </row>
    <row r="390" spans="1:9" ht="63">
      <c r="A390" s="40" t="s">
        <v>565</v>
      </c>
      <c r="B390" s="43" t="s">
        <v>797</v>
      </c>
      <c r="C390" s="43" t="s">
        <v>54</v>
      </c>
      <c r="D390" s="43" t="s">
        <v>86</v>
      </c>
      <c r="E390" s="43" t="s">
        <v>816</v>
      </c>
      <c r="F390" s="74"/>
      <c r="G390" s="94">
        <f t="shared" si="44"/>
        <v>800</v>
      </c>
      <c r="H390" s="94">
        <f t="shared" si="44"/>
        <v>0</v>
      </c>
      <c r="I390" s="94">
        <f t="shared" si="44"/>
        <v>0</v>
      </c>
    </row>
    <row r="391" spans="1:9" ht="47.25">
      <c r="A391" s="40" t="s">
        <v>20</v>
      </c>
      <c r="B391" s="43" t="s">
        <v>797</v>
      </c>
      <c r="C391" s="43" t="s">
        <v>54</v>
      </c>
      <c r="D391" s="43" t="s">
        <v>86</v>
      </c>
      <c r="E391" s="43" t="s">
        <v>816</v>
      </c>
      <c r="F391" s="74" t="s">
        <v>100</v>
      </c>
      <c r="G391" s="94">
        <v>800</v>
      </c>
      <c r="H391" s="94">
        <v>0</v>
      </c>
      <c r="I391" s="94">
        <v>0</v>
      </c>
    </row>
    <row r="392" spans="1:9" ht="47.25">
      <c r="A392" s="40" t="s">
        <v>810</v>
      </c>
      <c r="B392" s="43" t="s">
        <v>797</v>
      </c>
      <c r="C392" s="43" t="s">
        <v>54</v>
      </c>
      <c r="D392" s="43" t="s">
        <v>86</v>
      </c>
      <c r="E392" s="43" t="s">
        <v>809</v>
      </c>
      <c r="F392" s="159"/>
      <c r="G392" s="47">
        <f>G393</f>
        <v>251</v>
      </c>
      <c r="H392" s="47">
        <f>H393+H395+H397</f>
        <v>251</v>
      </c>
      <c r="I392" s="47">
        <f>I393+I395+I397</f>
        <v>251</v>
      </c>
    </row>
    <row r="393" spans="1:9" ht="31.5">
      <c r="A393" s="124" t="s">
        <v>811</v>
      </c>
      <c r="B393" s="43" t="s">
        <v>797</v>
      </c>
      <c r="C393" s="43" t="s">
        <v>54</v>
      </c>
      <c r="D393" s="43" t="s">
        <v>86</v>
      </c>
      <c r="E393" s="43" t="s">
        <v>815</v>
      </c>
      <c r="F393" s="159"/>
      <c r="G393" s="47">
        <f>G394</f>
        <v>251</v>
      </c>
      <c r="H393" s="47">
        <f>H394</f>
        <v>251</v>
      </c>
      <c r="I393" s="47">
        <f>I394</f>
        <v>251</v>
      </c>
    </row>
    <row r="394" spans="1:9" ht="47.25">
      <c r="A394" s="124" t="s">
        <v>20</v>
      </c>
      <c r="B394" s="43" t="s">
        <v>797</v>
      </c>
      <c r="C394" s="43" t="s">
        <v>54</v>
      </c>
      <c r="D394" s="43" t="s">
        <v>86</v>
      </c>
      <c r="E394" s="43" t="s">
        <v>815</v>
      </c>
      <c r="F394" s="48">
        <v>240</v>
      </c>
      <c r="G394" s="47">
        <f>736-485</f>
        <v>251</v>
      </c>
      <c r="H394" s="47">
        <f>736-485</f>
        <v>251</v>
      </c>
      <c r="I394" s="47">
        <f>736-485</f>
        <v>251</v>
      </c>
    </row>
    <row r="395" spans="1:9" ht="31.5" hidden="1">
      <c r="A395" s="124" t="s">
        <v>421</v>
      </c>
      <c r="B395" s="43" t="s">
        <v>797</v>
      </c>
      <c r="C395" s="43" t="s">
        <v>54</v>
      </c>
      <c r="D395" s="43" t="s">
        <v>86</v>
      </c>
      <c r="E395" s="43" t="s">
        <v>817</v>
      </c>
      <c r="F395" s="48"/>
      <c r="G395" s="47">
        <f>G396</f>
        <v>0</v>
      </c>
      <c r="H395" s="47">
        <f>H396</f>
        <v>0</v>
      </c>
      <c r="I395" s="47">
        <f>I396</f>
        <v>0</v>
      </c>
    </row>
    <row r="396" spans="1:9" ht="47.25" hidden="1">
      <c r="A396" s="124" t="s">
        <v>20</v>
      </c>
      <c r="B396" s="43" t="s">
        <v>797</v>
      </c>
      <c r="C396" s="43" t="s">
        <v>54</v>
      </c>
      <c r="D396" s="43" t="s">
        <v>86</v>
      </c>
      <c r="E396" s="43" t="s">
        <v>817</v>
      </c>
      <c r="F396" s="48">
        <v>240</v>
      </c>
      <c r="G396" s="47">
        <v>0</v>
      </c>
      <c r="H396" s="47"/>
      <c r="I396" s="47"/>
    </row>
    <row r="397" spans="1:9" ht="63" hidden="1">
      <c r="A397" s="124" t="s">
        <v>422</v>
      </c>
      <c r="B397" s="43" t="s">
        <v>797</v>
      </c>
      <c r="C397" s="43" t="s">
        <v>54</v>
      </c>
      <c r="D397" s="43" t="s">
        <v>86</v>
      </c>
      <c r="E397" s="43" t="s">
        <v>818</v>
      </c>
      <c r="F397" s="48"/>
      <c r="G397" s="47">
        <f>G398</f>
        <v>0</v>
      </c>
      <c r="H397" s="47">
        <f>H398</f>
        <v>0</v>
      </c>
      <c r="I397" s="47">
        <f>I398</f>
        <v>0</v>
      </c>
    </row>
    <row r="398" spans="1:9" ht="47.25" hidden="1">
      <c r="A398" s="124" t="s">
        <v>20</v>
      </c>
      <c r="B398" s="43" t="s">
        <v>797</v>
      </c>
      <c r="C398" s="43" t="s">
        <v>54</v>
      </c>
      <c r="D398" s="43" t="s">
        <v>86</v>
      </c>
      <c r="E398" s="43" t="s">
        <v>818</v>
      </c>
      <c r="F398" s="48">
        <v>240</v>
      </c>
      <c r="G398" s="47">
        <v>0</v>
      </c>
      <c r="H398" s="47"/>
      <c r="I398" s="47"/>
    </row>
    <row r="399" spans="1:9" ht="78.75">
      <c r="A399" s="40" t="s">
        <v>812</v>
      </c>
      <c r="B399" s="43" t="s">
        <v>797</v>
      </c>
      <c r="C399" s="43" t="s">
        <v>54</v>
      </c>
      <c r="D399" s="43" t="s">
        <v>86</v>
      </c>
      <c r="E399" s="43" t="s">
        <v>814</v>
      </c>
      <c r="F399" s="48"/>
      <c r="G399" s="47">
        <f aca="true" t="shared" si="45" ref="G399:I400">G400</f>
        <v>139.8</v>
      </c>
      <c r="H399" s="47">
        <f>H400</f>
        <v>139.8</v>
      </c>
      <c r="I399" s="47">
        <f t="shared" si="45"/>
        <v>139.8</v>
      </c>
    </row>
    <row r="400" spans="1:9" ht="63">
      <c r="A400" s="40" t="s">
        <v>565</v>
      </c>
      <c r="B400" s="43" t="s">
        <v>797</v>
      </c>
      <c r="C400" s="43" t="s">
        <v>54</v>
      </c>
      <c r="D400" s="43" t="s">
        <v>86</v>
      </c>
      <c r="E400" s="43" t="s">
        <v>823</v>
      </c>
      <c r="F400" s="48"/>
      <c r="G400" s="47">
        <f t="shared" si="45"/>
        <v>139.8</v>
      </c>
      <c r="H400" s="47">
        <f t="shared" si="45"/>
        <v>139.8</v>
      </c>
      <c r="I400" s="47">
        <f t="shared" si="45"/>
        <v>139.8</v>
      </c>
    </row>
    <row r="401" spans="1:9" ht="47.25">
      <c r="A401" s="40" t="s">
        <v>20</v>
      </c>
      <c r="B401" s="43" t="s">
        <v>797</v>
      </c>
      <c r="C401" s="43" t="s">
        <v>54</v>
      </c>
      <c r="D401" s="43" t="s">
        <v>86</v>
      </c>
      <c r="E401" s="43" t="s">
        <v>823</v>
      </c>
      <c r="F401" s="48">
        <v>240</v>
      </c>
      <c r="G401" s="47">
        <v>139.8</v>
      </c>
      <c r="H401" s="47">
        <v>139.8</v>
      </c>
      <c r="I401" s="47">
        <v>139.8</v>
      </c>
    </row>
    <row r="402" spans="1:9" ht="78.75">
      <c r="A402" s="40" t="s">
        <v>982</v>
      </c>
      <c r="B402" s="43" t="s">
        <v>797</v>
      </c>
      <c r="C402" s="43" t="s">
        <v>54</v>
      </c>
      <c r="D402" s="43" t="s">
        <v>86</v>
      </c>
      <c r="E402" s="43" t="s">
        <v>819</v>
      </c>
      <c r="F402" s="159"/>
      <c r="G402" s="47">
        <f>G403+G405</f>
        <v>5851</v>
      </c>
      <c r="H402" s="47">
        <f>H403+H405</f>
        <v>4500</v>
      </c>
      <c r="I402" s="47">
        <f>I403+I405</f>
        <v>4500</v>
      </c>
    </row>
    <row r="403" spans="1:9" ht="31.5">
      <c r="A403" s="124" t="s">
        <v>821</v>
      </c>
      <c r="B403" s="43" t="s">
        <v>797</v>
      </c>
      <c r="C403" s="43" t="s">
        <v>54</v>
      </c>
      <c r="D403" s="43" t="s">
        <v>86</v>
      </c>
      <c r="E403" s="43" t="s">
        <v>820</v>
      </c>
      <c r="F403" s="159"/>
      <c r="G403" s="47">
        <f>G404</f>
        <v>4874.8</v>
      </c>
      <c r="H403" s="47">
        <f>H404</f>
        <v>3523.8</v>
      </c>
      <c r="I403" s="47">
        <f>I404</f>
        <v>3523.8</v>
      </c>
    </row>
    <row r="404" spans="1:9" ht="15.75">
      <c r="A404" s="40" t="s">
        <v>110</v>
      </c>
      <c r="B404" s="43" t="s">
        <v>797</v>
      </c>
      <c r="C404" s="43" t="s">
        <v>54</v>
      </c>
      <c r="D404" s="43" t="s">
        <v>86</v>
      </c>
      <c r="E404" s="43" t="s">
        <v>820</v>
      </c>
      <c r="F404" s="159">
        <v>610</v>
      </c>
      <c r="G404" s="47">
        <v>4874.8</v>
      </c>
      <c r="H404" s="47">
        <f>4500-976.2</f>
        <v>3523.8</v>
      </c>
      <c r="I404" s="47">
        <f>4500-976.2</f>
        <v>3523.8</v>
      </c>
    </row>
    <row r="405" spans="1:9" ht="63">
      <c r="A405" s="40" t="s">
        <v>462</v>
      </c>
      <c r="B405" s="43" t="s">
        <v>797</v>
      </c>
      <c r="C405" s="43" t="s">
        <v>54</v>
      </c>
      <c r="D405" s="43" t="s">
        <v>86</v>
      </c>
      <c r="E405" s="43" t="s">
        <v>822</v>
      </c>
      <c r="F405" s="159"/>
      <c r="G405" s="47">
        <f>G406</f>
        <v>976.2</v>
      </c>
      <c r="H405" s="47">
        <f>H406</f>
        <v>976.2</v>
      </c>
      <c r="I405" s="47">
        <f>I406</f>
        <v>976.2</v>
      </c>
    </row>
    <row r="406" spans="1:9" ht="15.75">
      <c r="A406" s="40" t="s">
        <v>110</v>
      </c>
      <c r="B406" s="43" t="s">
        <v>797</v>
      </c>
      <c r="C406" s="43" t="s">
        <v>54</v>
      </c>
      <c r="D406" s="43" t="s">
        <v>86</v>
      </c>
      <c r="E406" s="43" t="s">
        <v>822</v>
      </c>
      <c r="F406" s="159">
        <v>610</v>
      </c>
      <c r="G406" s="47">
        <v>976.2</v>
      </c>
      <c r="H406" s="47">
        <v>976.2</v>
      </c>
      <c r="I406" s="47">
        <v>976.2</v>
      </c>
    </row>
    <row r="407" spans="1:9" ht="78.75">
      <c r="A407" s="124" t="s">
        <v>804</v>
      </c>
      <c r="B407" s="43" t="s">
        <v>797</v>
      </c>
      <c r="C407" s="43" t="s">
        <v>54</v>
      </c>
      <c r="D407" s="43" t="s">
        <v>86</v>
      </c>
      <c r="E407" s="43" t="s">
        <v>806</v>
      </c>
      <c r="F407" s="159"/>
      <c r="G407" s="47">
        <f>G408</f>
        <v>20</v>
      </c>
      <c r="H407" s="47">
        <f aca="true" t="shared" si="46" ref="H407:I409">H408</f>
        <v>20</v>
      </c>
      <c r="I407" s="47">
        <f t="shared" si="46"/>
        <v>20</v>
      </c>
    </row>
    <row r="408" spans="1:9" ht="63">
      <c r="A408" s="124" t="s">
        <v>805</v>
      </c>
      <c r="B408" s="43" t="s">
        <v>797</v>
      </c>
      <c r="C408" s="43" t="s">
        <v>54</v>
      </c>
      <c r="D408" s="43" t="s">
        <v>86</v>
      </c>
      <c r="E408" s="43" t="s">
        <v>801</v>
      </c>
      <c r="F408" s="160"/>
      <c r="G408" s="47">
        <f>G409</f>
        <v>20</v>
      </c>
      <c r="H408" s="47">
        <f t="shared" si="46"/>
        <v>20</v>
      </c>
      <c r="I408" s="47">
        <f t="shared" si="46"/>
        <v>20</v>
      </c>
    </row>
    <row r="409" spans="1:9" ht="47.25">
      <c r="A409" s="124" t="s">
        <v>803</v>
      </c>
      <c r="B409" s="43" t="s">
        <v>797</v>
      </c>
      <c r="C409" s="43" t="s">
        <v>54</v>
      </c>
      <c r="D409" s="43" t="s">
        <v>86</v>
      </c>
      <c r="E409" s="43" t="s">
        <v>802</v>
      </c>
      <c r="F409" s="74"/>
      <c r="G409" s="94">
        <f>G410</f>
        <v>20</v>
      </c>
      <c r="H409" s="94">
        <f t="shared" si="46"/>
        <v>20</v>
      </c>
      <c r="I409" s="94">
        <f t="shared" si="46"/>
        <v>20</v>
      </c>
    </row>
    <row r="410" spans="1:9" ht="21.75" customHeight="1">
      <c r="A410" s="40" t="s">
        <v>20</v>
      </c>
      <c r="B410" s="43" t="s">
        <v>797</v>
      </c>
      <c r="C410" s="43" t="s">
        <v>54</v>
      </c>
      <c r="D410" s="43" t="s">
        <v>86</v>
      </c>
      <c r="E410" s="43" t="s">
        <v>802</v>
      </c>
      <c r="F410" s="74" t="s">
        <v>100</v>
      </c>
      <c r="G410" s="94">
        <v>20</v>
      </c>
      <c r="H410" s="94">
        <v>20</v>
      </c>
      <c r="I410" s="94">
        <v>20</v>
      </c>
    </row>
    <row r="411" spans="1:9" ht="15.75" hidden="1">
      <c r="A411" s="40" t="s">
        <v>214</v>
      </c>
      <c r="B411" s="43" t="s">
        <v>797</v>
      </c>
      <c r="C411" s="43" t="s">
        <v>54</v>
      </c>
      <c r="D411" s="43" t="s">
        <v>86</v>
      </c>
      <c r="E411" s="43" t="s">
        <v>372</v>
      </c>
      <c r="F411" s="43"/>
      <c r="G411" s="59">
        <f aca="true" t="shared" si="47" ref="G411:I412">G412</f>
        <v>0</v>
      </c>
      <c r="H411" s="45">
        <f t="shared" si="47"/>
        <v>0</v>
      </c>
      <c r="I411" s="45">
        <f t="shared" si="47"/>
        <v>0</v>
      </c>
    </row>
    <row r="412" spans="1:9" ht="15.75" hidden="1">
      <c r="A412" s="40" t="s">
        <v>215</v>
      </c>
      <c r="B412" s="43" t="s">
        <v>797</v>
      </c>
      <c r="C412" s="43" t="s">
        <v>54</v>
      </c>
      <c r="D412" s="43" t="s">
        <v>86</v>
      </c>
      <c r="E412" s="43" t="s">
        <v>373</v>
      </c>
      <c r="F412" s="43"/>
      <c r="G412" s="59">
        <f t="shared" si="47"/>
        <v>0</v>
      </c>
      <c r="H412" s="45">
        <f t="shared" si="47"/>
        <v>0</v>
      </c>
      <c r="I412" s="45">
        <f t="shared" si="47"/>
        <v>0</v>
      </c>
    </row>
    <row r="413" spans="1:9" ht="47.25" hidden="1">
      <c r="A413" s="40" t="s">
        <v>20</v>
      </c>
      <c r="B413" s="43" t="s">
        <v>797</v>
      </c>
      <c r="C413" s="43" t="s">
        <v>54</v>
      </c>
      <c r="D413" s="43" t="s">
        <v>86</v>
      </c>
      <c r="E413" s="43" t="s">
        <v>373</v>
      </c>
      <c r="F413" s="43" t="s">
        <v>100</v>
      </c>
      <c r="G413" s="59">
        <v>0</v>
      </c>
      <c r="H413" s="59">
        <v>0</v>
      </c>
      <c r="I413" s="59">
        <v>0</v>
      </c>
    </row>
    <row r="414" spans="1:9" ht="47.25">
      <c r="A414" s="40" t="s">
        <v>66</v>
      </c>
      <c r="B414" s="43" t="s">
        <v>797</v>
      </c>
      <c r="C414" s="43" t="s">
        <v>54</v>
      </c>
      <c r="D414" s="43" t="s">
        <v>67</v>
      </c>
      <c r="E414" s="43"/>
      <c r="F414" s="43"/>
      <c r="G414" s="59">
        <f>G415</f>
        <v>30</v>
      </c>
      <c r="H414" s="59">
        <f>H415</f>
        <v>30</v>
      </c>
      <c r="I414" s="59">
        <f>I415</f>
        <v>30</v>
      </c>
    </row>
    <row r="415" spans="1:9" ht="94.5">
      <c r="A415" s="125" t="s">
        <v>751</v>
      </c>
      <c r="B415" s="43" t="s">
        <v>797</v>
      </c>
      <c r="C415" s="42" t="s">
        <v>54</v>
      </c>
      <c r="D415" s="42" t="s">
        <v>67</v>
      </c>
      <c r="E415" s="42" t="s">
        <v>375</v>
      </c>
      <c r="F415" s="43"/>
      <c r="G415" s="59">
        <f>G416+G423</f>
        <v>30</v>
      </c>
      <c r="H415" s="45">
        <f>H416+H423</f>
        <v>30</v>
      </c>
      <c r="I415" s="45">
        <f>I416+I423</f>
        <v>30</v>
      </c>
    </row>
    <row r="416" spans="1:9" ht="63">
      <c r="A416" s="125" t="s">
        <v>755</v>
      </c>
      <c r="B416" s="43" t="s">
        <v>797</v>
      </c>
      <c r="C416" s="42" t="s">
        <v>54</v>
      </c>
      <c r="D416" s="42" t="s">
        <v>67</v>
      </c>
      <c r="E416" s="42" t="s">
        <v>261</v>
      </c>
      <c r="F416" s="43"/>
      <c r="G416" s="59">
        <f>G417+G420</f>
        <v>20</v>
      </c>
      <c r="H416" s="59">
        <f>H417+H420</f>
        <v>20</v>
      </c>
      <c r="I416" s="59">
        <f>I417+I420</f>
        <v>20</v>
      </c>
    </row>
    <row r="417" spans="1:9" ht="78.75">
      <c r="A417" s="125" t="s">
        <v>757</v>
      </c>
      <c r="B417" s="43" t="s">
        <v>797</v>
      </c>
      <c r="C417" s="42" t="s">
        <v>54</v>
      </c>
      <c r="D417" s="42" t="s">
        <v>67</v>
      </c>
      <c r="E417" s="42" t="s">
        <v>390</v>
      </c>
      <c r="F417" s="42"/>
      <c r="G417" s="175">
        <f aca="true" t="shared" si="48" ref="G417:I418">G418</f>
        <v>10</v>
      </c>
      <c r="H417" s="175">
        <f t="shared" si="48"/>
        <v>10</v>
      </c>
      <c r="I417" s="175">
        <f t="shared" si="48"/>
        <v>10</v>
      </c>
    </row>
    <row r="418" spans="1:9" ht="47.25">
      <c r="A418" s="125" t="s">
        <v>259</v>
      </c>
      <c r="B418" s="43" t="s">
        <v>797</v>
      </c>
      <c r="C418" s="42" t="s">
        <v>54</v>
      </c>
      <c r="D418" s="42" t="s">
        <v>67</v>
      </c>
      <c r="E418" s="42" t="s">
        <v>391</v>
      </c>
      <c r="F418" s="42"/>
      <c r="G418" s="175">
        <f t="shared" si="48"/>
        <v>10</v>
      </c>
      <c r="H418" s="161">
        <f t="shared" si="48"/>
        <v>10</v>
      </c>
      <c r="I418" s="161">
        <f t="shared" si="48"/>
        <v>10</v>
      </c>
    </row>
    <row r="419" spans="1:9" ht="47.25">
      <c r="A419" s="125" t="s">
        <v>20</v>
      </c>
      <c r="B419" s="43" t="s">
        <v>797</v>
      </c>
      <c r="C419" s="42" t="s">
        <v>54</v>
      </c>
      <c r="D419" s="42" t="s">
        <v>67</v>
      </c>
      <c r="E419" s="42" t="s">
        <v>391</v>
      </c>
      <c r="F419" s="42" t="s">
        <v>100</v>
      </c>
      <c r="G419" s="175">
        <v>10</v>
      </c>
      <c r="H419" s="175">
        <v>10</v>
      </c>
      <c r="I419" s="175">
        <v>10</v>
      </c>
    </row>
    <row r="420" spans="1:9" ht="94.5">
      <c r="A420" s="125" t="s">
        <v>759</v>
      </c>
      <c r="B420" s="43" t="s">
        <v>797</v>
      </c>
      <c r="C420" s="42" t="s">
        <v>54</v>
      </c>
      <c r="D420" s="42" t="s">
        <v>67</v>
      </c>
      <c r="E420" s="42" t="s">
        <v>266</v>
      </c>
      <c r="F420" s="42"/>
      <c r="G420" s="161">
        <f aca="true" t="shared" si="49" ref="G420:I421">G421</f>
        <v>10</v>
      </c>
      <c r="H420" s="161">
        <f t="shared" si="49"/>
        <v>10</v>
      </c>
      <c r="I420" s="161">
        <f t="shared" si="49"/>
        <v>10</v>
      </c>
    </row>
    <row r="421" spans="1:9" ht="15.75">
      <c r="A421" s="125" t="s">
        <v>250</v>
      </c>
      <c r="B421" s="43" t="s">
        <v>797</v>
      </c>
      <c r="C421" s="42" t="s">
        <v>54</v>
      </c>
      <c r="D421" s="42" t="s">
        <v>67</v>
      </c>
      <c r="E421" s="42" t="s">
        <v>760</v>
      </c>
      <c r="F421" s="42"/>
      <c r="G421" s="161">
        <f t="shared" si="49"/>
        <v>10</v>
      </c>
      <c r="H421" s="161">
        <f t="shared" si="49"/>
        <v>10</v>
      </c>
      <c r="I421" s="161">
        <f t="shared" si="49"/>
        <v>10</v>
      </c>
    </row>
    <row r="422" spans="1:9" ht="15.75">
      <c r="A422" s="125" t="s">
        <v>110</v>
      </c>
      <c r="B422" s="43" t="s">
        <v>797</v>
      </c>
      <c r="C422" s="42" t="s">
        <v>54</v>
      </c>
      <c r="D422" s="42" t="s">
        <v>67</v>
      </c>
      <c r="E422" s="42" t="s">
        <v>760</v>
      </c>
      <c r="F422" s="42" t="s">
        <v>111</v>
      </c>
      <c r="G422" s="161">
        <v>10</v>
      </c>
      <c r="H422" s="161">
        <v>10</v>
      </c>
      <c r="I422" s="161">
        <v>10</v>
      </c>
    </row>
    <row r="423" spans="1:9" ht="78.75">
      <c r="A423" s="125" t="s">
        <v>117</v>
      </c>
      <c r="B423" s="43" t="s">
        <v>797</v>
      </c>
      <c r="C423" s="42" t="s">
        <v>54</v>
      </c>
      <c r="D423" s="42" t="s">
        <v>67</v>
      </c>
      <c r="E423" s="42" t="s">
        <v>267</v>
      </c>
      <c r="F423" s="64" t="s">
        <v>357</v>
      </c>
      <c r="G423" s="45">
        <f aca="true" t="shared" si="50" ref="G423:I425">G424</f>
        <v>10</v>
      </c>
      <c r="H423" s="45">
        <f t="shared" si="50"/>
        <v>10</v>
      </c>
      <c r="I423" s="45">
        <f t="shared" si="50"/>
        <v>10</v>
      </c>
    </row>
    <row r="424" spans="1:9" ht="63">
      <c r="A424" s="125" t="s">
        <v>752</v>
      </c>
      <c r="B424" s="43" t="s">
        <v>797</v>
      </c>
      <c r="C424" s="42" t="s">
        <v>54</v>
      </c>
      <c r="D424" s="42" t="s">
        <v>67</v>
      </c>
      <c r="E424" s="42" t="s">
        <v>753</v>
      </c>
      <c r="F424" s="64"/>
      <c r="G424" s="45">
        <f t="shared" si="50"/>
        <v>10</v>
      </c>
      <c r="H424" s="45">
        <f t="shared" si="50"/>
        <v>10</v>
      </c>
      <c r="I424" s="45">
        <f t="shared" si="50"/>
        <v>10</v>
      </c>
    </row>
    <row r="425" spans="1:9" ht="94.5">
      <c r="A425" s="125" t="s">
        <v>260</v>
      </c>
      <c r="B425" s="43" t="s">
        <v>797</v>
      </c>
      <c r="C425" s="42" t="s">
        <v>54</v>
      </c>
      <c r="D425" s="42" t="s">
        <v>67</v>
      </c>
      <c r="E425" s="42" t="s">
        <v>754</v>
      </c>
      <c r="F425" s="64"/>
      <c r="G425" s="45">
        <f t="shared" si="50"/>
        <v>10</v>
      </c>
      <c r="H425" s="45">
        <f t="shared" si="50"/>
        <v>10</v>
      </c>
      <c r="I425" s="45">
        <f t="shared" si="50"/>
        <v>10</v>
      </c>
    </row>
    <row r="426" spans="1:9" ht="47.25">
      <c r="A426" s="125" t="s">
        <v>20</v>
      </c>
      <c r="B426" s="43" t="s">
        <v>797</v>
      </c>
      <c r="C426" s="42" t="s">
        <v>54</v>
      </c>
      <c r="D426" s="42" t="s">
        <v>67</v>
      </c>
      <c r="E426" s="42" t="s">
        <v>754</v>
      </c>
      <c r="F426" s="64" t="s">
        <v>100</v>
      </c>
      <c r="G426" s="45">
        <v>10</v>
      </c>
      <c r="H426" s="45">
        <v>10</v>
      </c>
      <c r="I426" s="45">
        <v>10</v>
      </c>
    </row>
    <row r="427" spans="1:9" ht="18" customHeight="1">
      <c r="A427" s="40" t="s">
        <v>68</v>
      </c>
      <c r="B427" s="43" t="s">
        <v>797</v>
      </c>
      <c r="C427" s="43" t="s">
        <v>56</v>
      </c>
      <c r="D427" s="43"/>
      <c r="E427" s="43"/>
      <c r="F427" s="43"/>
      <c r="G427" s="59">
        <f>G436+G444+G428</f>
        <v>56326.7</v>
      </c>
      <c r="H427" s="59">
        <f>H436+H444+H428</f>
        <v>14627.099999999999</v>
      </c>
      <c r="I427" s="59">
        <f>I436+I444+I428</f>
        <v>14986.599999999999</v>
      </c>
    </row>
    <row r="428" spans="1:9" ht="15.75">
      <c r="A428" s="40" t="s">
        <v>197</v>
      </c>
      <c r="B428" s="43" t="s">
        <v>797</v>
      </c>
      <c r="C428" s="43" t="s">
        <v>56</v>
      </c>
      <c r="D428" s="43" t="s">
        <v>81</v>
      </c>
      <c r="E428" s="44"/>
      <c r="F428" s="43"/>
      <c r="G428" s="59">
        <f aca="true" t="shared" si="51" ref="G428:I430">G429</f>
        <v>4157.1</v>
      </c>
      <c r="H428" s="45">
        <f t="shared" si="51"/>
        <v>4579.400000000001</v>
      </c>
      <c r="I428" s="45">
        <f t="shared" si="51"/>
        <v>4074.9000000000005</v>
      </c>
    </row>
    <row r="429" spans="1:9" ht="84" customHeight="1">
      <c r="A429" s="40" t="s">
        <v>745</v>
      </c>
      <c r="B429" s="43" t="s">
        <v>797</v>
      </c>
      <c r="C429" s="43" t="s">
        <v>56</v>
      </c>
      <c r="D429" s="43" t="s">
        <v>81</v>
      </c>
      <c r="E429" s="44" t="s">
        <v>134</v>
      </c>
      <c r="F429" s="43"/>
      <c r="G429" s="59">
        <f t="shared" si="51"/>
        <v>4157.1</v>
      </c>
      <c r="H429" s="45">
        <f t="shared" si="51"/>
        <v>4579.400000000001</v>
      </c>
      <c r="I429" s="45">
        <f t="shared" si="51"/>
        <v>4074.9000000000005</v>
      </c>
    </row>
    <row r="430" spans="1:9" ht="47.25">
      <c r="A430" s="124" t="s">
        <v>746</v>
      </c>
      <c r="B430" s="43" t="s">
        <v>797</v>
      </c>
      <c r="C430" s="43" t="s">
        <v>56</v>
      </c>
      <c r="D430" s="43" t="s">
        <v>81</v>
      </c>
      <c r="E430" s="43" t="s">
        <v>315</v>
      </c>
      <c r="F430" s="43"/>
      <c r="G430" s="59">
        <f t="shared" si="51"/>
        <v>4157.1</v>
      </c>
      <c r="H430" s="59">
        <f t="shared" si="51"/>
        <v>4579.400000000001</v>
      </c>
      <c r="I430" s="59">
        <f t="shared" si="51"/>
        <v>4074.9000000000005</v>
      </c>
    </row>
    <row r="431" spans="1:9" ht="63">
      <c r="A431" s="124" t="s">
        <v>317</v>
      </c>
      <c r="B431" s="43" t="s">
        <v>797</v>
      </c>
      <c r="C431" s="43" t="s">
        <v>56</v>
      </c>
      <c r="D431" s="43" t="s">
        <v>81</v>
      </c>
      <c r="E431" s="43" t="s">
        <v>316</v>
      </c>
      <c r="F431" s="43"/>
      <c r="G431" s="59">
        <f>G432+G434</f>
        <v>4157.1</v>
      </c>
      <c r="H431" s="59">
        <f>H432+H434</f>
        <v>4579.400000000001</v>
      </c>
      <c r="I431" s="59">
        <f>I432+I434</f>
        <v>4074.9000000000005</v>
      </c>
    </row>
    <row r="432" spans="1:9" ht="63">
      <c r="A432" s="124" t="s">
        <v>293</v>
      </c>
      <c r="B432" s="43" t="s">
        <v>797</v>
      </c>
      <c r="C432" s="43" t="s">
        <v>56</v>
      </c>
      <c r="D432" s="43" t="s">
        <v>81</v>
      </c>
      <c r="E432" s="43" t="s">
        <v>322</v>
      </c>
      <c r="F432" s="43"/>
      <c r="G432" s="59">
        <f>G433</f>
        <v>0</v>
      </c>
      <c r="H432" s="45">
        <f>H433</f>
        <v>846.8</v>
      </c>
      <c r="I432" s="45">
        <f>I433</f>
        <v>342.3</v>
      </c>
    </row>
    <row r="433" spans="1:9" ht="47.25">
      <c r="A433" s="40" t="s">
        <v>20</v>
      </c>
      <c r="B433" s="43" t="s">
        <v>797</v>
      </c>
      <c r="C433" s="43" t="s">
        <v>56</v>
      </c>
      <c r="D433" s="43" t="s">
        <v>81</v>
      </c>
      <c r="E433" s="43" t="s">
        <v>322</v>
      </c>
      <c r="F433" s="43" t="s">
        <v>100</v>
      </c>
      <c r="G433" s="94">
        <v>0</v>
      </c>
      <c r="H433" s="94">
        <f>350-7.7+505-0.5</f>
        <v>846.8</v>
      </c>
      <c r="I433" s="94">
        <f>350-7.7</f>
        <v>342.3</v>
      </c>
    </row>
    <row r="434" spans="1:9" ht="77.25" customHeight="1">
      <c r="A434" s="40" t="s">
        <v>495</v>
      </c>
      <c r="B434" s="43" t="s">
        <v>797</v>
      </c>
      <c r="C434" s="43" t="s">
        <v>56</v>
      </c>
      <c r="D434" s="43" t="s">
        <v>81</v>
      </c>
      <c r="E434" s="43" t="s">
        <v>496</v>
      </c>
      <c r="F434" s="43"/>
      <c r="G434" s="59">
        <f>G435</f>
        <v>4157.1</v>
      </c>
      <c r="H434" s="59">
        <f>H435</f>
        <v>3732.6000000000004</v>
      </c>
      <c r="I434" s="59">
        <f>I435</f>
        <v>3732.6000000000004</v>
      </c>
    </row>
    <row r="435" spans="1:9" ht="47.25">
      <c r="A435" s="40" t="s">
        <v>20</v>
      </c>
      <c r="B435" s="43" t="s">
        <v>797</v>
      </c>
      <c r="C435" s="43" t="s">
        <v>56</v>
      </c>
      <c r="D435" s="43" t="s">
        <v>81</v>
      </c>
      <c r="E435" s="43" t="s">
        <v>496</v>
      </c>
      <c r="F435" s="43" t="s">
        <v>100</v>
      </c>
      <c r="G435" s="59">
        <v>4157.1</v>
      </c>
      <c r="H435" s="59">
        <f>3695.3+37.3</f>
        <v>3732.6000000000004</v>
      </c>
      <c r="I435" s="59">
        <f>3695.3+37.3</f>
        <v>3732.6000000000004</v>
      </c>
    </row>
    <row r="436" spans="1:9" ht="18.75" customHeight="1">
      <c r="A436" s="40" t="s">
        <v>70</v>
      </c>
      <c r="B436" s="43" t="s">
        <v>797</v>
      </c>
      <c r="C436" s="43" t="s">
        <v>56</v>
      </c>
      <c r="D436" s="43" t="s">
        <v>65</v>
      </c>
      <c r="E436" s="43"/>
      <c r="F436" s="43"/>
      <c r="G436" s="59">
        <f aca="true" t="shared" si="52" ref="G436:I438">G437</f>
        <v>51342</v>
      </c>
      <c r="H436" s="59">
        <f t="shared" si="52"/>
        <v>9355.099999999999</v>
      </c>
      <c r="I436" s="59">
        <f t="shared" si="52"/>
        <v>10234.099999999999</v>
      </c>
    </row>
    <row r="437" spans="1:9" ht="83.25" customHeight="1">
      <c r="A437" s="40" t="s">
        <v>745</v>
      </c>
      <c r="B437" s="43" t="s">
        <v>797</v>
      </c>
      <c r="C437" s="43" t="s">
        <v>56</v>
      </c>
      <c r="D437" s="43" t="s">
        <v>65</v>
      </c>
      <c r="E437" s="43" t="s">
        <v>134</v>
      </c>
      <c r="F437" s="43"/>
      <c r="G437" s="59">
        <f t="shared" si="52"/>
        <v>51342</v>
      </c>
      <c r="H437" s="59">
        <f t="shared" si="52"/>
        <v>9355.099999999999</v>
      </c>
      <c r="I437" s="59">
        <f t="shared" si="52"/>
        <v>10234.099999999999</v>
      </c>
    </row>
    <row r="438" spans="1:9" ht="81" customHeight="1">
      <c r="A438" s="40" t="s">
        <v>750</v>
      </c>
      <c r="B438" s="43" t="s">
        <v>797</v>
      </c>
      <c r="C438" s="43" t="s">
        <v>56</v>
      </c>
      <c r="D438" s="43" t="s">
        <v>65</v>
      </c>
      <c r="E438" s="43" t="s">
        <v>319</v>
      </c>
      <c r="F438" s="43"/>
      <c r="G438" s="59">
        <f>G439</f>
        <v>51342</v>
      </c>
      <c r="H438" s="59">
        <f t="shared" si="52"/>
        <v>9355.099999999999</v>
      </c>
      <c r="I438" s="59">
        <f t="shared" si="52"/>
        <v>10234.099999999999</v>
      </c>
    </row>
    <row r="439" spans="1:9" ht="47.25">
      <c r="A439" s="40" t="s">
        <v>135</v>
      </c>
      <c r="B439" s="43" t="s">
        <v>797</v>
      </c>
      <c r="C439" s="43" t="s">
        <v>56</v>
      </c>
      <c r="D439" s="43" t="s">
        <v>65</v>
      </c>
      <c r="E439" s="43" t="s">
        <v>320</v>
      </c>
      <c r="F439" s="43"/>
      <c r="G439" s="59">
        <f>G442+G440</f>
        <v>51342</v>
      </c>
      <c r="H439" s="59">
        <f>H442+H440</f>
        <v>9355.099999999999</v>
      </c>
      <c r="I439" s="59">
        <f>I442+I440</f>
        <v>10234.099999999999</v>
      </c>
    </row>
    <row r="440" spans="1:9" ht="101.25" customHeight="1">
      <c r="A440" s="40" t="s">
        <v>487</v>
      </c>
      <c r="B440" s="43" t="s">
        <v>797</v>
      </c>
      <c r="C440" s="43" t="s">
        <v>56</v>
      </c>
      <c r="D440" s="43" t="s">
        <v>65</v>
      </c>
      <c r="E440" s="43" t="s">
        <v>321</v>
      </c>
      <c r="F440" s="43"/>
      <c r="G440" s="94">
        <f>G441</f>
        <v>10938</v>
      </c>
      <c r="H440" s="94">
        <f>H441</f>
        <v>9355.099999999999</v>
      </c>
      <c r="I440" s="94">
        <f>I441</f>
        <v>10234.099999999999</v>
      </c>
    </row>
    <row r="441" spans="1:9" ht="47.25">
      <c r="A441" s="40" t="s">
        <v>20</v>
      </c>
      <c r="B441" s="43" t="s">
        <v>797</v>
      </c>
      <c r="C441" s="43" t="s">
        <v>56</v>
      </c>
      <c r="D441" s="43" t="s">
        <v>65</v>
      </c>
      <c r="E441" s="43" t="s">
        <v>321</v>
      </c>
      <c r="F441" s="43" t="s">
        <v>100</v>
      </c>
      <c r="G441" s="94">
        <v>10938</v>
      </c>
      <c r="H441" s="45">
        <f>15066-6.7-4800-904.2</f>
        <v>9355.099999999999</v>
      </c>
      <c r="I441" s="45">
        <f>15945-6.7-4800-904.2</f>
        <v>10234.099999999999</v>
      </c>
    </row>
    <row r="442" spans="1:9" ht="47.25">
      <c r="A442" s="124" t="s">
        <v>500</v>
      </c>
      <c r="B442" s="43" t="s">
        <v>797</v>
      </c>
      <c r="C442" s="43" t="s">
        <v>56</v>
      </c>
      <c r="D442" s="43" t="s">
        <v>65</v>
      </c>
      <c r="E442" s="43" t="s">
        <v>403</v>
      </c>
      <c r="F442" s="43"/>
      <c r="G442" s="94">
        <f>G443</f>
        <v>40404</v>
      </c>
      <c r="H442" s="94">
        <f>H443</f>
        <v>0</v>
      </c>
      <c r="I442" s="94">
        <f>I443</f>
        <v>0</v>
      </c>
    </row>
    <row r="443" spans="1:9" ht="47.25">
      <c r="A443" s="40" t="s">
        <v>20</v>
      </c>
      <c r="B443" s="43" t="s">
        <v>797</v>
      </c>
      <c r="C443" s="43" t="s">
        <v>56</v>
      </c>
      <c r="D443" s="43" t="s">
        <v>65</v>
      </c>
      <c r="E443" s="43" t="s">
        <v>403</v>
      </c>
      <c r="F443" s="43" t="s">
        <v>100</v>
      </c>
      <c r="G443" s="59">
        <f>40000+404</f>
        <v>40404</v>
      </c>
      <c r="H443" s="45">
        <v>0</v>
      </c>
      <c r="I443" s="45">
        <v>0</v>
      </c>
    </row>
    <row r="444" spans="1:9" ht="31.5">
      <c r="A444" s="124" t="s">
        <v>71</v>
      </c>
      <c r="B444" s="43" t="s">
        <v>797</v>
      </c>
      <c r="C444" s="43" t="s">
        <v>56</v>
      </c>
      <c r="D444" s="43" t="s">
        <v>72</v>
      </c>
      <c r="E444" s="43"/>
      <c r="F444" s="43"/>
      <c r="G444" s="59">
        <f>G452+G445+G459</f>
        <v>827.6</v>
      </c>
      <c r="H444" s="59">
        <f>H452+H445+H459</f>
        <v>692.6</v>
      </c>
      <c r="I444" s="59">
        <f>I452+I445+I459</f>
        <v>677.6</v>
      </c>
    </row>
    <row r="445" spans="1:9" ht="69.75" customHeight="1">
      <c r="A445" s="40" t="s">
        <v>739</v>
      </c>
      <c r="B445" s="43" t="s">
        <v>797</v>
      </c>
      <c r="C445" s="43" t="s">
        <v>56</v>
      </c>
      <c r="D445" s="43" t="s">
        <v>72</v>
      </c>
      <c r="E445" s="43" t="s">
        <v>196</v>
      </c>
      <c r="F445" s="43"/>
      <c r="G445" s="59">
        <f>G446+G449</f>
        <v>250</v>
      </c>
      <c r="H445" s="59">
        <f>H446+H449</f>
        <v>100</v>
      </c>
      <c r="I445" s="59">
        <f>I446+I449</f>
        <v>100</v>
      </c>
    </row>
    <row r="446" spans="1:9" ht="63">
      <c r="A446" s="40" t="s">
        <v>740</v>
      </c>
      <c r="B446" s="43" t="s">
        <v>797</v>
      </c>
      <c r="C446" s="43" t="s">
        <v>56</v>
      </c>
      <c r="D446" s="43" t="s">
        <v>72</v>
      </c>
      <c r="E446" s="43" t="s">
        <v>741</v>
      </c>
      <c r="F446" s="74"/>
      <c r="G446" s="45">
        <f>G447</f>
        <v>200</v>
      </c>
      <c r="H446" s="45">
        <f>H447</f>
        <v>50</v>
      </c>
      <c r="I446" s="45">
        <f>I447</f>
        <v>50</v>
      </c>
    </row>
    <row r="447" spans="1:9" ht="31.5">
      <c r="A447" s="162" t="s">
        <v>346</v>
      </c>
      <c r="B447" s="43" t="s">
        <v>797</v>
      </c>
      <c r="C447" s="43" t="s">
        <v>56</v>
      </c>
      <c r="D447" s="43" t="s">
        <v>72</v>
      </c>
      <c r="E447" s="163" t="s">
        <v>742</v>
      </c>
      <c r="F447" s="164"/>
      <c r="G447" s="147">
        <f aca="true" t="shared" si="53" ref="G447:I450">G448</f>
        <v>200</v>
      </c>
      <c r="H447" s="147">
        <f t="shared" si="53"/>
        <v>50</v>
      </c>
      <c r="I447" s="147">
        <f t="shared" si="53"/>
        <v>50</v>
      </c>
    </row>
    <row r="448" spans="1:9" ht="47.25">
      <c r="A448" s="165" t="s">
        <v>20</v>
      </c>
      <c r="B448" s="43" t="s">
        <v>797</v>
      </c>
      <c r="C448" s="43" t="s">
        <v>56</v>
      </c>
      <c r="D448" s="43" t="s">
        <v>72</v>
      </c>
      <c r="E448" s="163" t="s">
        <v>742</v>
      </c>
      <c r="F448" s="166" t="s">
        <v>100</v>
      </c>
      <c r="G448" s="126">
        <v>200</v>
      </c>
      <c r="H448" s="126">
        <v>50</v>
      </c>
      <c r="I448" s="126">
        <v>50</v>
      </c>
    </row>
    <row r="449" spans="1:9" ht="47.25">
      <c r="A449" s="40" t="s">
        <v>392</v>
      </c>
      <c r="B449" s="43" t="s">
        <v>797</v>
      </c>
      <c r="C449" s="43" t="s">
        <v>56</v>
      </c>
      <c r="D449" s="43" t="s">
        <v>72</v>
      </c>
      <c r="E449" s="43" t="s">
        <v>743</v>
      </c>
      <c r="F449" s="43"/>
      <c r="G449" s="45">
        <f t="shared" si="53"/>
        <v>50</v>
      </c>
      <c r="H449" s="45">
        <f t="shared" si="53"/>
        <v>50</v>
      </c>
      <c r="I449" s="45">
        <f t="shared" si="53"/>
        <v>50</v>
      </c>
    </row>
    <row r="450" spans="1:9" ht="31.5">
      <c r="A450" s="162" t="s">
        <v>346</v>
      </c>
      <c r="B450" s="43" t="s">
        <v>797</v>
      </c>
      <c r="C450" s="43" t="s">
        <v>56</v>
      </c>
      <c r="D450" s="43" t="s">
        <v>72</v>
      </c>
      <c r="E450" s="163" t="s">
        <v>744</v>
      </c>
      <c r="F450" s="164"/>
      <c r="G450" s="147">
        <f t="shared" si="53"/>
        <v>50</v>
      </c>
      <c r="H450" s="147">
        <f t="shared" si="53"/>
        <v>50</v>
      </c>
      <c r="I450" s="147">
        <f t="shared" si="53"/>
        <v>50</v>
      </c>
    </row>
    <row r="451" spans="1:9" ht="47.25">
      <c r="A451" s="165" t="s">
        <v>20</v>
      </c>
      <c r="B451" s="43" t="s">
        <v>797</v>
      </c>
      <c r="C451" s="43" t="s">
        <v>56</v>
      </c>
      <c r="D451" s="43" t="s">
        <v>72</v>
      </c>
      <c r="E451" s="163" t="s">
        <v>744</v>
      </c>
      <c r="F451" s="166" t="s">
        <v>100</v>
      </c>
      <c r="G451" s="126">
        <v>50</v>
      </c>
      <c r="H451" s="126">
        <v>50</v>
      </c>
      <c r="I451" s="126">
        <v>50</v>
      </c>
    </row>
    <row r="452" spans="1:9" ht="78.75">
      <c r="A452" s="124" t="s">
        <v>767</v>
      </c>
      <c r="B452" s="43" t="s">
        <v>797</v>
      </c>
      <c r="C452" s="43" t="s">
        <v>56</v>
      </c>
      <c r="D452" s="43" t="s">
        <v>72</v>
      </c>
      <c r="E452" s="43" t="s">
        <v>133</v>
      </c>
      <c r="F452" s="43"/>
      <c r="G452" s="59">
        <f>G453+G456</f>
        <v>577.6</v>
      </c>
      <c r="H452" s="45">
        <f>H453+H456</f>
        <v>577.6</v>
      </c>
      <c r="I452" s="45">
        <f>I453+I456</f>
        <v>577.6</v>
      </c>
    </row>
    <row r="453" spans="1:9" ht="78.75">
      <c r="A453" s="124" t="s">
        <v>768</v>
      </c>
      <c r="B453" s="43" t="s">
        <v>797</v>
      </c>
      <c r="C453" s="43" t="s">
        <v>56</v>
      </c>
      <c r="D453" s="43" t="s">
        <v>72</v>
      </c>
      <c r="E453" s="43" t="s">
        <v>269</v>
      </c>
      <c r="F453" s="43"/>
      <c r="G453" s="59">
        <f aca="true" t="shared" si="54" ref="G453:I454">G454</f>
        <v>45</v>
      </c>
      <c r="H453" s="45">
        <f t="shared" si="54"/>
        <v>45</v>
      </c>
      <c r="I453" s="45">
        <f t="shared" si="54"/>
        <v>45</v>
      </c>
    </row>
    <row r="454" spans="1:9" ht="47.25">
      <c r="A454" s="124" t="s">
        <v>105</v>
      </c>
      <c r="B454" s="43" t="s">
        <v>797</v>
      </c>
      <c r="C454" s="43" t="s">
        <v>56</v>
      </c>
      <c r="D454" s="43" t="s">
        <v>72</v>
      </c>
      <c r="E454" s="43" t="s">
        <v>270</v>
      </c>
      <c r="F454" s="43"/>
      <c r="G454" s="59">
        <f t="shared" si="54"/>
        <v>45</v>
      </c>
      <c r="H454" s="45">
        <f t="shared" si="54"/>
        <v>45</v>
      </c>
      <c r="I454" s="45">
        <f t="shared" si="54"/>
        <v>45</v>
      </c>
    </row>
    <row r="455" spans="1:9" ht="47.25">
      <c r="A455" s="40" t="s">
        <v>20</v>
      </c>
      <c r="B455" s="43" t="s">
        <v>797</v>
      </c>
      <c r="C455" s="43" t="s">
        <v>56</v>
      </c>
      <c r="D455" s="43" t="s">
        <v>72</v>
      </c>
      <c r="E455" s="43" t="s">
        <v>270</v>
      </c>
      <c r="F455" s="43" t="s">
        <v>100</v>
      </c>
      <c r="G455" s="59">
        <v>45</v>
      </c>
      <c r="H455" s="59">
        <v>45</v>
      </c>
      <c r="I455" s="59">
        <v>45</v>
      </c>
    </row>
    <row r="456" spans="1:9" ht="63">
      <c r="A456" s="40" t="s">
        <v>271</v>
      </c>
      <c r="B456" s="43" t="s">
        <v>797</v>
      </c>
      <c r="C456" s="43" t="s">
        <v>56</v>
      </c>
      <c r="D456" s="43" t="s">
        <v>72</v>
      </c>
      <c r="E456" s="43" t="s">
        <v>272</v>
      </c>
      <c r="F456" s="43"/>
      <c r="G456" s="59">
        <f aca="true" t="shared" si="55" ref="G456:I457">G457</f>
        <v>532.6</v>
      </c>
      <c r="H456" s="59">
        <f t="shared" si="55"/>
        <v>532.6</v>
      </c>
      <c r="I456" s="59">
        <f t="shared" si="55"/>
        <v>532.6</v>
      </c>
    </row>
    <row r="457" spans="1:9" ht="63">
      <c r="A457" s="40" t="s">
        <v>769</v>
      </c>
      <c r="B457" s="43" t="s">
        <v>797</v>
      </c>
      <c r="C457" s="43" t="s">
        <v>56</v>
      </c>
      <c r="D457" s="43" t="s">
        <v>72</v>
      </c>
      <c r="E457" s="43" t="s">
        <v>273</v>
      </c>
      <c r="F457" s="43"/>
      <c r="G457" s="59">
        <f t="shared" si="55"/>
        <v>532.6</v>
      </c>
      <c r="H457" s="45">
        <f t="shared" si="55"/>
        <v>532.6</v>
      </c>
      <c r="I457" s="45">
        <f t="shared" si="55"/>
        <v>532.6</v>
      </c>
    </row>
    <row r="458" spans="1:9" ht="78.75">
      <c r="A458" s="40" t="s">
        <v>355</v>
      </c>
      <c r="B458" s="43" t="s">
        <v>797</v>
      </c>
      <c r="C458" s="43" t="s">
        <v>56</v>
      </c>
      <c r="D458" s="43" t="s">
        <v>72</v>
      </c>
      <c r="E458" s="43" t="s">
        <v>273</v>
      </c>
      <c r="F458" s="43" t="s">
        <v>356</v>
      </c>
      <c r="G458" s="94">
        <f>506+26.6</f>
        <v>532.6</v>
      </c>
      <c r="H458" s="94">
        <f>506+26.6</f>
        <v>532.6</v>
      </c>
      <c r="I458" s="94">
        <f>506+26.6</f>
        <v>532.6</v>
      </c>
    </row>
    <row r="459" spans="1:9" ht="15.75">
      <c r="A459" s="37" t="s">
        <v>227</v>
      </c>
      <c r="B459" s="43" t="s">
        <v>797</v>
      </c>
      <c r="C459" s="43" t="s">
        <v>56</v>
      </c>
      <c r="D459" s="43" t="s">
        <v>72</v>
      </c>
      <c r="E459" s="43" t="s">
        <v>296</v>
      </c>
      <c r="F459" s="43"/>
      <c r="G459" s="59">
        <f aca="true" t="shared" si="56" ref="G459:I460">G460</f>
        <v>0</v>
      </c>
      <c r="H459" s="59">
        <f t="shared" si="56"/>
        <v>15</v>
      </c>
      <c r="I459" s="59">
        <f t="shared" si="56"/>
        <v>0</v>
      </c>
    </row>
    <row r="460" spans="1:9" ht="31.5">
      <c r="A460" s="40" t="s">
        <v>285</v>
      </c>
      <c r="B460" s="43" t="s">
        <v>797</v>
      </c>
      <c r="C460" s="43" t="s">
        <v>56</v>
      </c>
      <c r="D460" s="43" t="s">
        <v>72</v>
      </c>
      <c r="E460" s="43" t="s">
        <v>533</v>
      </c>
      <c r="F460" s="43"/>
      <c r="G460" s="59">
        <f t="shared" si="56"/>
        <v>0</v>
      </c>
      <c r="H460" s="59">
        <f t="shared" si="56"/>
        <v>15</v>
      </c>
      <c r="I460" s="59">
        <f t="shared" si="56"/>
        <v>0</v>
      </c>
    </row>
    <row r="461" spans="1:9" ht="47.25">
      <c r="A461" s="40" t="s">
        <v>20</v>
      </c>
      <c r="B461" s="43" t="s">
        <v>797</v>
      </c>
      <c r="C461" s="43" t="s">
        <v>56</v>
      </c>
      <c r="D461" s="43" t="s">
        <v>72</v>
      </c>
      <c r="E461" s="43" t="s">
        <v>533</v>
      </c>
      <c r="F461" s="43" t="s">
        <v>100</v>
      </c>
      <c r="G461" s="59">
        <v>0</v>
      </c>
      <c r="H461" s="45">
        <v>15</v>
      </c>
      <c r="I461" s="45">
        <v>0</v>
      </c>
    </row>
    <row r="462" spans="1:9" ht="15.75">
      <c r="A462" s="40" t="s">
        <v>73</v>
      </c>
      <c r="B462" s="43" t="s">
        <v>797</v>
      </c>
      <c r="C462" s="43" t="s">
        <v>69</v>
      </c>
      <c r="D462" s="43"/>
      <c r="E462" s="43"/>
      <c r="F462" s="43"/>
      <c r="G462" s="59">
        <f>G463+G483+G530+G583</f>
        <v>339859.50000000006</v>
      </c>
      <c r="H462" s="59">
        <f>H463+H483+H530+H583</f>
        <v>233170.80000000002</v>
      </c>
      <c r="I462" s="59">
        <f>I463+I483+I530+I583</f>
        <v>9520.7</v>
      </c>
    </row>
    <row r="463" spans="1:9" ht="16.5" customHeight="1">
      <c r="A463" s="40" t="s">
        <v>74</v>
      </c>
      <c r="B463" s="43" t="s">
        <v>797</v>
      </c>
      <c r="C463" s="43" t="s">
        <v>69</v>
      </c>
      <c r="D463" s="43" t="s">
        <v>51</v>
      </c>
      <c r="E463" s="43"/>
      <c r="F463" s="43"/>
      <c r="G463" s="59">
        <f>G464+G472+G480</f>
        <v>245484.80000000002</v>
      </c>
      <c r="H463" s="59">
        <f>H464+H472</f>
        <v>205556.5</v>
      </c>
      <c r="I463" s="59">
        <f>I464+I472</f>
        <v>2520</v>
      </c>
    </row>
    <row r="464" spans="1:9" ht="80.25" customHeight="1">
      <c r="A464" s="40" t="s">
        <v>825</v>
      </c>
      <c r="B464" s="43" t="s">
        <v>797</v>
      </c>
      <c r="C464" s="43" t="s">
        <v>69</v>
      </c>
      <c r="D464" s="43" t="s">
        <v>51</v>
      </c>
      <c r="E464" s="43" t="s">
        <v>334</v>
      </c>
      <c r="F464" s="43"/>
      <c r="G464" s="94">
        <f>G465</f>
        <v>2820</v>
      </c>
      <c r="H464" s="94">
        <f>H465</f>
        <v>2520</v>
      </c>
      <c r="I464" s="94">
        <f>I465</f>
        <v>2520</v>
      </c>
    </row>
    <row r="465" spans="1:9" ht="47.25">
      <c r="A465" s="40" t="s">
        <v>826</v>
      </c>
      <c r="B465" s="43" t="s">
        <v>797</v>
      </c>
      <c r="C465" s="43" t="s">
        <v>69</v>
      </c>
      <c r="D465" s="43" t="s">
        <v>51</v>
      </c>
      <c r="E465" s="43" t="s">
        <v>335</v>
      </c>
      <c r="F465" s="43"/>
      <c r="G465" s="94">
        <f>G466+G469</f>
        <v>2820</v>
      </c>
      <c r="H465" s="94">
        <f>H466+H469</f>
        <v>2520</v>
      </c>
      <c r="I465" s="94">
        <f>I466+I469</f>
        <v>2520</v>
      </c>
    </row>
    <row r="466" spans="1:9" ht="63">
      <c r="A466" s="40" t="s">
        <v>828</v>
      </c>
      <c r="B466" s="43" t="s">
        <v>797</v>
      </c>
      <c r="C466" s="43" t="s">
        <v>69</v>
      </c>
      <c r="D466" s="43" t="s">
        <v>51</v>
      </c>
      <c r="E466" s="43" t="s">
        <v>338</v>
      </c>
      <c r="F466" s="43"/>
      <c r="G466" s="94">
        <f aca="true" t="shared" si="57" ref="G466:I467">G467</f>
        <v>1770</v>
      </c>
      <c r="H466" s="45">
        <f t="shared" si="57"/>
        <v>1470</v>
      </c>
      <c r="I466" s="45">
        <f t="shared" si="57"/>
        <v>1470</v>
      </c>
    </row>
    <row r="467" spans="1:9" ht="31.5">
      <c r="A467" s="40" t="s">
        <v>981</v>
      </c>
      <c r="B467" s="43" t="s">
        <v>797</v>
      </c>
      <c r="C467" s="43" t="s">
        <v>69</v>
      </c>
      <c r="D467" s="43" t="s">
        <v>51</v>
      </c>
      <c r="E467" s="43" t="s">
        <v>339</v>
      </c>
      <c r="F467" s="43"/>
      <c r="G467" s="94">
        <f t="shared" si="57"/>
        <v>1770</v>
      </c>
      <c r="H467" s="45">
        <f t="shared" si="57"/>
        <v>1470</v>
      </c>
      <c r="I467" s="45">
        <f t="shared" si="57"/>
        <v>1470</v>
      </c>
    </row>
    <row r="468" spans="1:9" ht="47.25">
      <c r="A468" s="40" t="s">
        <v>20</v>
      </c>
      <c r="B468" s="43" t="s">
        <v>797</v>
      </c>
      <c r="C468" s="43" t="s">
        <v>69</v>
      </c>
      <c r="D468" s="43" t="s">
        <v>51</v>
      </c>
      <c r="E468" s="43" t="s">
        <v>339</v>
      </c>
      <c r="F468" s="43" t="s">
        <v>100</v>
      </c>
      <c r="G468" s="94">
        <v>1770</v>
      </c>
      <c r="H468" s="94">
        <v>1470</v>
      </c>
      <c r="I468" s="94">
        <v>1470</v>
      </c>
    </row>
    <row r="469" spans="1:9" ht="47.25">
      <c r="A469" s="40" t="s">
        <v>333</v>
      </c>
      <c r="B469" s="43" t="s">
        <v>797</v>
      </c>
      <c r="C469" s="43" t="s">
        <v>69</v>
      </c>
      <c r="D469" s="43" t="s">
        <v>51</v>
      </c>
      <c r="E469" s="43" t="s">
        <v>340</v>
      </c>
      <c r="F469" s="43"/>
      <c r="G469" s="94">
        <f aca="true" t="shared" si="58" ref="G469:I470">G470</f>
        <v>1050</v>
      </c>
      <c r="H469" s="45">
        <f t="shared" si="58"/>
        <v>1050</v>
      </c>
      <c r="I469" s="45">
        <f t="shared" si="58"/>
        <v>1050</v>
      </c>
    </row>
    <row r="470" spans="1:9" ht="47.25">
      <c r="A470" s="40" t="s">
        <v>829</v>
      </c>
      <c r="B470" s="43" t="s">
        <v>797</v>
      </c>
      <c r="C470" s="43" t="s">
        <v>69</v>
      </c>
      <c r="D470" s="43" t="s">
        <v>51</v>
      </c>
      <c r="E470" s="43" t="s">
        <v>341</v>
      </c>
      <c r="F470" s="43"/>
      <c r="G470" s="94">
        <f t="shared" si="58"/>
        <v>1050</v>
      </c>
      <c r="H470" s="45">
        <f t="shared" si="58"/>
        <v>1050</v>
      </c>
      <c r="I470" s="45">
        <f t="shared" si="58"/>
        <v>1050</v>
      </c>
    </row>
    <row r="471" spans="1:9" ht="47.25">
      <c r="A471" s="40" t="s">
        <v>20</v>
      </c>
      <c r="B471" s="43" t="s">
        <v>797</v>
      </c>
      <c r="C471" s="43" t="s">
        <v>69</v>
      </c>
      <c r="D471" s="43" t="s">
        <v>51</v>
      </c>
      <c r="E471" s="43" t="s">
        <v>341</v>
      </c>
      <c r="F471" s="43" t="s">
        <v>100</v>
      </c>
      <c r="G471" s="94">
        <v>1050</v>
      </c>
      <c r="H471" s="94">
        <v>1050</v>
      </c>
      <c r="I471" s="94">
        <v>1050</v>
      </c>
    </row>
    <row r="472" spans="1:9" ht="89.25" customHeight="1">
      <c r="A472" s="167" t="s">
        <v>774</v>
      </c>
      <c r="B472" s="43" t="s">
        <v>797</v>
      </c>
      <c r="C472" s="43" t="s">
        <v>69</v>
      </c>
      <c r="D472" s="43" t="s">
        <v>51</v>
      </c>
      <c r="E472" s="43" t="s">
        <v>434</v>
      </c>
      <c r="F472" s="43"/>
      <c r="G472" s="59">
        <f>G473</f>
        <v>242664.80000000002</v>
      </c>
      <c r="H472" s="59">
        <f>H473</f>
        <v>203036.5</v>
      </c>
      <c r="I472" s="59">
        <f>I473</f>
        <v>0</v>
      </c>
    </row>
    <row r="473" spans="1:9" ht="71.25" customHeight="1">
      <c r="A473" s="40" t="s">
        <v>436</v>
      </c>
      <c r="B473" s="43" t="s">
        <v>797</v>
      </c>
      <c r="C473" s="43" t="s">
        <v>69</v>
      </c>
      <c r="D473" s="43" t="s">
        <v>51</v>
      </c>
      <c r="E473" s="43" t="s">
        <v>435</v>
      </c>
      <c r="F473" s="43"/>
      <c r="G473" s="59">
        <f>G474+G476+G478</f>
        <v>242664.80000000002</v>
      </c>
      <c r="H473" s="59">
        <f>H474+H476+H478</f>
        <v>203036.5</v>
      </c>
      <c r="I473" s="59">
        <f>I474+I476+I478</f>
        <v>0</v>
      </c>
    </row>
    <row r="474" spans="1:9" ht="181.5" customHeight="1">
      <c r="A474" s="40" t="s">
        <v>427</v>
      </c>
      <c r="B474" s="43" t="s">
        <v>797</v>
      </c>
      <c r="C474" s="43" t="s">
        <v>69</v>
      </c>
      <c r="D474" s="43" t="s">
        <v>51</v>
      </c>
      <c r="E474" s="43" t="s">
        <v>437</v>
      </c>
      <c r="F474" s="43"/>
      <c r="G474" s="59">
        <f>G475</f>
        <v>63329.1</v>
      </c>
      <c r="H474" s="59">
        <f>H475</f>
        <v>80028</v>
      </c>
      <c r="I474" s="59">
        <f>I475</f>
        <v>0</v>
      </c>
    </row>
    <row r="475" spans="1:9" ht="18" customHeight="1">
      <c r="A475" s="40" t="s">
        <v>420</v>
      </c>
      <c r="B475" s="43" t="s">
        <v>797</v>
      </c>
      <c r="C475" s="43" t="s">
        <v>69</v>
      </c>
      <c r="D475" s="43" t="s">
        <v>51</v>
      </c>
      <c r="E475" s="43" t="s">
        <v>437</v>
      </c>
      <c r="F475" s="43" t="s">
        <v>419</v>
      </c>
      <c r="G475" s="45">
        <v>63329.1</v>
      </c>
      <c r="H475" s="45">
        <v>80028</v>
      </c>
      <c r="I475" s="45">
        <v>0</v>
      </c>
    </row>
    <row r="476" spans="1:9" ht="130.5" customHeight="1">
      <c r="A476" s="40" t="s">
        <v>439</v>
      </c>
      <c r="B476" s="43" t="s">
        <v>797</v>
      </c>
      <c r="C476" s="43" t="s">
        <v>69</v>
      </c>
      <c r="D476" s="43" t="s">
        <v>51</v>
      </c>
      <c r="E476" s="43" t="s">
        <v>438</v>
      </c>
      <c r="F476" s="43"/>
      <c r="G476" s="59">
        <f aca="true" t="shared" si="59" ref="G476:I478">G477</f>
        <v>179327.5</v>
      </c>
      <c r="H476" s="59">
        <f t="shared" si="59"/>
        <v>123002.5</v>
      </c>
      <c r="I476" s="59">
        <f t="shared" si="59"/>
        <v>0</v>
      </c>
    </row>
    <row r="477" spans="1:9" ht="15.75">
      <c r="A477" s="40" t="s">
        <v>420</v>
      </c>
      <c r="B477" s="43" t="s">
        <v>797</v>
      </c>
      <c r="C477" s="43" t="s">
        <v>69</v>
      </c>
      <c r="D477" s="43" t="s">
        <v>51</v>
      </c>
      <c r="E477" s="43" t="s">
        <v>438</v>
      </c>
      <c r="F477" s="43" t="s">
        <v>419</v>
      </c>
      <c r="G477" s="45">
        <v>179327.5</v>
      </c>
      <c r="H477" s="45">
        <v>123002.5</v>
      </c>
      <c r="I477" s="45">
        <v>0</v>
      </c>
    </row>
    <row r="478" spans="1:9" ht="126">
      <c r="A478" s="40" t="s">
        <v>441</v>
      </c>
      <c r="B478" s="43" t="s">
        <v>797</v>
      </c>
      <c r="C478" s="43" t="s">
        <v>69</v>
      </c>
      <c r="D478" s="43" t="s">
        <v>51</v>
      </c>
      <c r="E478" s="43" t="s">
        <v>440</v>
      </c>
      <c r="F478" s="43"/>
      <c r="G478" s="59">
        <f t="shared" si="59"/>
        <v>8.2</v>
      </c>
      <c r="H478" s="59">
        <f t="shared" si="59"/>
        <v>6</v>
      </c>
      <c r="I478" s="59">
        <f t="shared" si="59"/>
        <v>0</v>
      </c>
    </row>
    <row r="479" spans="1:9" ht="47.25">
      <c r="A479" s="40" t="s">
        <v>20</v>
      </c>
      <c r="B479" s="43" t="s">
        <v>797</v>
      </c>
      <c r="C479" s="43" t="s">
        <v>69</v>
      </c>
      <c r="D479" s="43" t="s">
        <v>51</v>
      </c>
      <c r="E479" s="43" t="s">
        <v>440</v>
      </c>
      <c r="F479" s="43" t="s">
        <v>100</v>
      </c>
      <c r="G479" s="59">
        <v>8.2</v>
      </c>
      <c r="H479" s="59">
        <v>6</v>
      </c>
      <c r="I479" s="59">
        <v>0</v>
      </c>
    </row>
    <row r="480" spans="1:9" ht="15.75" hidden="1">
      <c r="A480" s="40" t="s">
        <v>214</v>
      </c>
      <c r="B480" s="43" t="s">
        <v>797</v>
      </c>
      <c r="C480" s="43" t="s">
        <v>69</v>
      </c>
      <c r="D480" s="43" t="s">
        <v>51</v>
      </c>
      <c r="E480" s="43" t="s">
        <v>372</v>
      </c>
      <c r="F480" s="43"/>
      <c r="G480" s="59">
        <f aca="true" t="shared" si="60" ref="G480:I481">G481</f>
        <v>0</v>
      </c>
      <c r="H480" s="45">
        <f t="shared" si="60"/>
        <v>0</v>
      </c>
      <c r="I480" s="45">
        <f t="shared" si="60"/>
        <v>0</v>
      </c>
    </row>
    <row r="481" spans="1:9" ht="15.75" hidden="1">
      <c r="A481" s="40" t="s">
        <v>215</v>
      </c>
      <c r="B481" s="43" t="s">
        <v>797</v>
      </c>
      <c r="C481" s="43" t="s">
        <v>69</v>
      </c>
      <c r="D481" s="43" t="s">
        <v>51</v>
      </c>
      <c r="E481" s="43" t="s">
        <v>373</v>
      </c>
      <c r="F481" s="43"/>
      <c r="G481" s="59">
        <f t="shared" si="60"/>
        <v>0</v>
      </c>
      <c r="H481" s="45">
        <f t="shared" si="60"/>
        <v>0</v>
      </c>
      <c r="I481" s="45">
        <f t="shared" si="60"/>
        <v>0</v>
      </c>
    </row>
    <row r="482" spans="1:9" ht="47.25" hidden="1">
      <c r="A482" s="40" t="s">
        <v>20</v>
      </c>
      <c r="B482" s="43" t="s">
        <v>797</v>
      </c>
      <c r="C482" s="43" t="s">
        <v>69</v>
      </c>
      <c r="D482" s="43" t="s">
        <v>51</v>
      </c>
      <c r="E482" s="43" t="s">
        <v>373</v>
      </c>
      <c r="F482" s="43" t="s">
        <v>100</v>
      </c>
      <c r="G482" s="59">
        <v>0</v>
      </c>
      <c r="H482" s="59">
        <v>0</v>
      </c>
      <c r="I482" s="59">
        <v>0</v>
      </c>
    </row>
    <row r="483" spans="1:9" ht="15.75">
      <c r="A483" s="40" t="s">
        <v>208</v>
      </c>
      <c r="B483" s="43" t="s">
        <v>797</v>
      </c>
      <c r="C483" s="43" t="s">
        <v>69</v>
      </c>
      <c r="D483" s="43" t="s">
        <v>52</v>
      </c>
      <c r="E483" s="43"/>
      <c r="F483" s="43"/>
      <c r="G483" s="59">
        <f>G484+G520+G513+G527</f>
        <v>77451.3</v>
      </c>
      <c r="H483" s="59">
        <f>H484+H520+H513+H527</f>
        <v>20274.7</v>
      </c>
      <c r="I483" s="59">
        <f>I484+I520+I513+I527</f>
        <v>1820</v>
      </c>
    </row>
    <row r="484" spans="1:9" ht="68.25" customHeight="1">
      <c r="A484" s="40" t="s">
        <v>840</v>
      </c>
      <c r="B484" s="43" t="s">
        <v>797</v>
      </c>
      <c r="C484" s="43" t="s">
        <v>69</v>
      </c>
      <c r="D484" s="43" t="s">
        <v>52</v>
      </c>
      <c r="E484" s="43" t="s">
        <v>368</v>
      </c>
      <c r="F484" s="74"/>
      <c r="G484" s="45">
        <f>G488+G485+G504+G507+G495</f>
        <v>24491.6</v>
      </c>
      <c r="H484" s="45">
        <f>H488+H485+H504+H507+H495</f>
        <v>1800</v>
      </c>
      <c r="I484" s="45">
        <f>I488+I485+I504+I507+I495</f>
        <v>1800</v>
      </c>
    </row>
    <row r="485" spans="1:9" ht="110.25">
      <c r="A485" s="40" t="s">
        <v>841</v>
      </c>
      <c r="B485" s="43" t="s">
        <v>797</v>
      </c>
      <c r="C485" s="43" t="s">
        <v>69</v>
      </c>
      <c r="D485" s="43" t="s">
        <v>52</v>
      </c>
      <c r="E485" s="43" t="s">
        <v>407</v>
      </c>
      <c r="F485" s="43"/>
      <c r="G485" s="145">
        <f aca="true" t="shared" si="61" ref="G485:I486">G486</f>
        <v>0</v>
      </c>
      <c r="H485" s="145">
        <f t="shared" si="61"/>
        <v>1300</v>
      </c>
      <c r="I485" s="145">
        <f t="shared" si="61"/>
        <v>1300</v>
      </c>
    </row>
    <row r="486" spans="1:9" ht="78.75">
      <c r="A486" s="40" t="s">
        <v>842</v>
      </c>
      <c r="B486" s="43" t="s">
        <v>797</v>
      </c>
      <c r="C486" s="43" t="s">
        <v>69</v>
      </c>
      <c r="D486" s="43" t="s">
        <v>52</v>
      </c>
      <c r="E486" s="43" t="s">
        <v>408</v>
      </c>
      <c r="F486" s="43"/>
      <c r="G486" s="145">
        <f t="shared" si="61"/>
        <v>0</v>
      </c>
      <c r="H486" s="145">
        <f t="shared" si="61"/>
        <v>1300</v>
      </c>
      <c r="I486" s="145">
        <f t="shared" si="61"/>
        <v>1300</v>
      </c>
    </row>
    <row r="487" spans="1:9" ht="78.75">
      <c r="A487" s="40" t="s">
        <v>355</v>
      </c>
      <c r="B487" s="43" t="s">
        <v>797</v>
      </c>
      <c r="C487" s="43" t="s">
        <v>69</v>
      </c>
      <c r="D487" s="43" t="s">
        <v>52</v>
      </c>
      <c r="E487" s="43" t="s">
        <v>408</v>
      </c>
      <c r="F487" s="43" t="s">
        <v>356</v>
      </c>
      <c r="G487" s="145">
        <v>0</v>
      </c>
      <c r="H487" s="145">
        <v>1300</v>
      </c>
      <c r="I487" s="145">
        <v>1300</v>
      </c>
    </row>
    <row r="488" spans="1:9" ht="78.75">
      <c r="A488" s="40" t="s">
        <v>843</v>
      </c>
      <c r="B488" s="43" t="s">
        <v>797</v>
      </c>
      <c r="C488" s="43" t="s">
        <v>69</v>
      </c>
      <c r="D488" s="43" t="s">
        <v>52</v>
      </c>
      <c r="E488" s="43" t="s">
        <v>345</v>
      </c>
      <c r="F488" s="74"/>
      <c r="G488" s="45">
        <f>G491+G493+G489</f>
        <v>7040.099999999999</v>
      </c>
      <c r="H488" s="45">
        <f>H491+H493+H489</f>
        <v>0</v>
      </c>
      <c r="I488" s="45">
        <f>I491+I493+I489</f>
        <v>0</v>
      </c>
    </row>
    <row r="489" spans="1:9" ht="31.5">
      <c r="A489" s="40" t="s">
        <v>442</v>
      </c>
      <c r="B489" s="43" t="s">
        <v>797</v>
      </c>
      <c r="C489" s="43" t="s">
        <v>69</v>
      </c>
      <c r="D489" s="43" t="s">
        <v>52</v>
      </c>
      <c r="E489" s="43" t="s">
        <v>443</v>
      </c>
      <c r="F489" s="43"/>
      <c r="G489" s="59">
        <f>G490</f>
        <v>776</v>
      </c>
      <c r="H489" s="59">
        <f>H490</f>
        <v>0</v>
      </c>
      <c r="I489" s="59">
        <f>I490</f>
        <v>0</v>
      </c>
    </row>
    <row r="490" spans="1:9" ht="47.25">
      <c r="A490" s="40" t="s">
        <v>20</v>
      </c>
      <c r="B490" s="43" t="s">
        <v>797</v>
      </c>
      <c r="C490" s="43" t="s">
        <v>69</v>
      </c>
      <c r="D490" s="43" t="s">
        <v>52</v>
      </c>
      <c r="E490" s="43" t="s">
        <v>443</v>
      </c>
      <c r="F490" s="43" t="s">
        <v>100</v>
      </c>
      <c r="G490" s="59">
        <v>776</v>
      </c>
      <c r="H490" s="59">
        <v>0</v>
      </c>
      <c r="I490" s="59">
        <v>0</v>
      </c>
    </row>
    <row r="491" spans="1:9" ht="31.5">
      <c r="A491" s="40" t="s">
        <v>421</v>
      </c>
      <c r="B491" s="43" t="s">
        <v>797</v>
      </c>
      <c r="C491" s="43" t="s">
        <v>69</v>
      </c>
      <c r="D491" s="43" t="s">
        <v>52</v>
      </c>
      <c r="E491" s="43" t="s">
        <v>400</v>
      </c>
      <c r="F491" s="74"/>
      <c r="G491" s="94">
        <f>G492</f>
        <v>5950.9</v>
      </c>
      <c r="H491" s="94">
        <f>H492</f>
        <v>0</v>
      </c>
      <c r="I491" s="94">
        <f>I492</f>
        <v>0</v>
      </c>
    </row>
    <row r="492" spans="1:9" ht="47.25">
      <c r="A492" s="40" t="s">
        <v>20</v>
      </c>
      <c r="B492" s="43" t="s">
        <v>797</v>
      </c>
      <c r="C492" s="43" t="s">
        <v>69</v>
      </c>
      <c r="D492" s="43" t="s">
        <v>52</v>
      </c>
      <c r="E492" s="43" t="s">
        <v>400</v>
      </c>
      <c r="F492" s="74" t="s">
        <v>100</v>
      </c>
      <c r="G492" s="94">
        <v>5950.9</v>
      </c>
      <c r="H492" s="45">
        <v>0</v>
      </c>
      <c r="I492" s="45">
        <v>0</v>
      </c>
    </row>
    <row r="493" spans="1:9" ht="63">
      <c r="A493" s="40" t="s">
        <v>422</v>
      </c>
      <c r="B493" s="43" t="s">
        <v>797</v>
      </c>
      <c r="C493" s="43" t="s">
        <v>69</v>
      </c>
      <c r="D493" s="43" t="s">
        <v>52</v>
      </c>
      <c r="E493" s="43" t="s">
        <v>401</v>
      </c>
      <c r="F493" s="74"/>
      <c r="G493" s="94">
        <f>G494</f>
        <v>313.2</v>
      </c>
      <c r="H493" s="94">
        <f>H494</f>
        <v>0</v>
      </c>
      <c r="I493" s="94">
        <f>I494</f>
        <v>0</v>
      </c>
    </row>
    <row r="494" spans="1:9" ht="47.25">
      <c r="A494" s="40" t="s">
        <v>20</v>
      </c>
      <c r="B494" s="43" t="s">
        <v>797</v>
      </c>
      <c r="C494" s="43" t="s">
        <v>69</v>
      </c>
      <c r="D494" s="43" t="s">
        <v>52</v>
      </c>
      <c r="E494" s="43" t="s">
        <v>401</v>
      </c>
      <c r="F494" s="74" t="s">
        <v>100</v>
      </c>
      <c r="G494" s="94">
        <v>313.2</v>
      </c>
      <c r="H494" s="45">
        <v>0</v>
      </c>
      <c r="I494" s="45">
        <v>0</v>
      </c>
    </row>
    <row r="495" spans="1:9" ht="78.75">
      <c r="A495" s="40" t="s">
        <v>844</v>
      </c>
      <c r="B495" s="43" t="s">
        <v>797</v>
      </c>
      <c r="C495" s="43" t="s">
        <v>69</v>
      </c>
      <c r="D495" s="43" t="s">
        <v>52</v>
      </c>
      <c r="E495" s="43" t="s">
        <v>536</v>
      </c>
      <c r="F495" s="43"/>
      <c r="G495" s="59">
        <f>G498+G500+G502+G496</f>
        <v>16701.5</v>
      </c>
      <c r="H495" s="59">
        <f>H498+H500+H502</f>
        <v>0</v>
      </c>
      <c r="I495" s="59">
        <f>I498+I500+I502</f>
        <v>0</v>
      </c>
    </row>
    <row r="496" spans="1:9" ht="38.25" customHeight="1">
      <c r="A496" s="40" t="s">
        <v>442</v>
      </c>
      <c r="B496" s="43" t="s">
        <v>797</v>
      </c>
      <c r="C496" s="43" t="s">
        <v>69</v>
      </c>
      <c r="D496" s="43" t="s">
        <v>52</v>
      </c>
      <c r="E496" s="43" t="s">
        <v>1001</v>
      </c>
      <c r="F496" s="43"/>
      <c r="G496" s="59">
        <f>G497</f>
        <v>7014.7</v>
      </c>
      <c r="H496" s="59"/>
      <c r="I496" s="59"/>
    </row>
    <row r="497" spans="1:9" ht="15.75">
      <c r="A497" s="40" t="s">
        <v>420</v>
      </c>
      <c r="B497" s="43" t="s">
        <v>797</v>
      </c>
      <c r="C497" s="43" t="s">
        <v>69</v>
      </c>
      <c r="D497" s="43" t="s">
        <v>52</v>
      </c>
      <c r="E497" s="43" t="s">
        <v>1001</v>
      </c>
      <c r="F497" s="43" t="s">
        <v>419</v>
      </c>
      <c r="G497" s="59">
        <v>7014.7</v>
      </c>
      <c r="H497" s="59"/>
      <c r="I497" s="59"/>
    </row>
    <row r="498" spans="1:9" ht="31.5">
      <c r="A498" s="40" t="s">
        <v>421</v>
      </c>
      <c r="B498" s="43" t="s">
        <v>797</v>
      </c>
      <c r="C498" s="43" t="s">
        <v>69</v>
      </c>
      <c r="D498" s="43" t="s">
        <v>52</v>
      </c>
      <c r="E498" s="43" t="s">
        <v>845</v>
      </c>
      <c r="F498" s="74"/>
      <c r="G498" s="94">
        <f>G499</f>
        <v>950</v>
      </c>
      <c r="H498" s="94"/>
      <c r="I498" s="94"/>
    </row>
    <row r="499" spans="1:9" ht="47.25">
      <c r="A499" s="40" t="s">
        <v>20</v>
      </c>
      <c r="B499" s="43" t="s">
        <v>797</v>
      </c>
      <c r="C499" s="43" t="s">
        <v>69</v>
      </c>
      <c r="D499" s="43" t="s">
        <v>52</v>
      </c>
      <c r="E499" s="43" t="s">
        <v>845</v>
      </c>
      <c r="F499" s="74" t="s">
        <v>100</v>
      </c>
      <c r="G499" s="94">
        <v>950</v>
      </c>
      <c r="H499" s="94"/>
      <c r="I499" s="94"/>
    </row>
    <row r="500" spans="1:9" ht="63">
      <c r="A500" s="40" t="s">
        <v>422</v>
      </c>
      <c r="B500" s="43" t="s">
        <v>797</v>
      </c>
      <c r="C500" s="43" t="s">
        <v>69</v>
      </c>
      <c r="D500" s="43" t="s">
        <v>52</v>
      </c>
      <c r="E500" s="43" t="s">
        <v>846</v>
      </c>
      <c r="F500" s="74"/>
      <c r="G500" s="94">
        <f>G501</f>
        <v>50</v>
      </c>
      <c r="H500" s="94"/>
      <c r="I500" s="94"/>
    </row>
    <row r="501" spans="1:9" ht="47.25">
      <c r="A501" s="40" t="s">
        <v>20</v>
      </c>
      <c r="B501" s="43" t="s">
        <v>797</v>
      </c>
      <c r="C501" s="43" t="s">
        <v>69</v>
      </c>
      <c r="D501" s="43" t="s">
        <v>52</v>
      </c>
      <c r="E501" s="43" t="s">
        <v>846</v>
      </c>
      <c r="F501" s="74" t="s">
        <v>100</v>
      </c>
      <c r="G501" s="94">
        <f>50</f>
        <v>50</v>
      </c>
      <c r="H501" s="94"/>
      <c r="I501" s="94"/>
    </row>
    <row r="502" spans="1:9" ht="63">
      <c r="A502" s="40" t="s">
        <v>504</v>
      </c>
      <c r="B502" s="43" t="s">
        <v>797</v>
      </c>
      <c r="C502" s="43" t="s">
        <v>69</v>
      </c>
      <c r="D502" s="43" t="s">
        <v>52</v>
      </c>
      <c r="E502" s="43" t="s">
        <v>537</v>
      </c>
      <c r="F502" s="43"/>
      <c r="G502" s="94">
        <f>G503</f>
        <v>8686.8</v>
      </c>
      <c r="H502" s="45">
        <f>H503</f>
        <v>0</v>
      </c>
      <c r="I502" s="45">
        <f>I503</f>
        <v>0</v>
      </c>
    </row>
    <row r="503" spans="1:9" ht="15.75">
      <c r="A503" s="40" t="s">
        <v>420</v>
      </c>
      <c r="B503" s="43" t="s">
        <v>797</v>
      </c>
      <c r="C503" s="43" t="s">
        <v>69</v>
      </c>
      <c r="D503" s="43" t="s">
        <v>52</v>
      </c>
      <c r="E503" s="43" t="s">
        <v>537</v>
      </c>
      <c r="F503" s="43" t="s">
        <v>419</v>
      </c>
      <c r="G503" s="94">
        <f>8599.9+86.9</f>
        <v>8686.8</v>
      </c>
      <c r="H503" s="45">
        <v>0</v>
      </c>
      <c r="I503" s="45">
        <v>0</v>
      </c>
    </row>
    <row r="504" spans="1:9" ht="31.5">
      <c r="A504" s="40" t="s">
        <v>459</v>
      </c>
      <c r="B504" s="43" t="s">
        <v>797</v>
      </c>
      <c r="C504" s="43" t="s">
        <v>69</v>
      </c>
      <c r="D504" s="43" t="s">
        <v>52</v>
      </c>
      <c r="E504" s="43" t="s">
        <v>460</v>
      </c>
      <c r="F504" s="43"/>
      <c r="G504" s="94">
        <f aca="true" t="shared" si="62" ref="G504:I505">G505</f>
        <v>450</v>
      </c>
      <c r="H504" s="94">
        <f t="shared" si="62"/>
        <v>200</v>
      </c>
      <c r="I504" s="94">
        <f t="shared" si="62"/>
        <v>200</v>
      </c>
    </row>
    <row r="505" spans="1:9" ht="31.5">
      <c r="A505" s="40" t="s">
        <v>442</v>
      </c>
      <c r="B505" s="43" t="s">
        <v>797</v>
      </c>
      <c r="C505" s="43" t="s">
        <v>69</v>
      </c>
      <c r="D505" s="43" t="s">
        <v>52</v>
      </c>
      <c r="E505" s="43" t="s">
        <v>461</v>
      </c>
      <c r="F505" s="43"/>
      <c r="G505" s="94">
        <f t="shared" si="62"/>
        <v>450</v>
      </c>
      <c r="H505" s="94">
        <f t="shared" si="62"/>
        <v>200</v>
      </c>
      <c r="I505" s="94">
        <f t="shared" si="62"/>
        <v>200</v>
      </c>
    </row>
    <row r="506" spans="1:9" ht="47.25">
      <c r="A506" s="40" t="s">
        <v>20</v>
      </c>
      <c r="B506" s="43" t="s">
        <v>797</v>
      </c>
      <c r="C506" s="43" t="s">
        <v>69</v>
      </c>
      <c r="D506" s="43" t="s">
        <v>52</v>
      </c>
      <c r="E506" s="43" t="s">
        <v>461</v>
      </c>
      <c r="F506" s="43" t="s">
        <v>100</v>
      </c>
      <c r="G506" s="94">
        <v>450</v>
      </c>
      <c r="H506" s="94">
        <v>200</v>
      </c>
      <c r="I506" s="94">
        <v>200</v>
      </c>
    </row>
    <row r="507" spans="1:9" ht="141.75">
      <c r="A507" s="40" t="s">
        <v>538</v>
      </c>
      <c r="B507" s="43" t="s">
        <v>797</v>
      </c>
      <c r="C507" s="43" t="s">
        <v>69</v>
      </c>
      <c r="D507" s="43" t="s">
        <v>52</v>
      </c>
      <c r="E507" s="43" t="s">
        <v>509</v>
      </c>
      <c r="F507" s="74"/>
      <c r="G507" s="94">
        <f aca="true" t="shared" si="63" ref="G507:I508">G508</f>
        <v>300</v>
      </c>
      <c r="H507" s="94">
        <f t="shared" si="63"/>
        <v>300</v>
      </c>
      <c r="I507" s="94">
        <f t="shared" si="63"/>
        <v>300</v>
      </c>
    </row>
    <row r="508" spans="1:9" ht="31.5">
      <c r="A508" s="40" t="s">
        <v>442</v>
      </c>
      <c r="B508" s="43" t="s">
        <v>797</v>
      </c>
      <c r="C508" s="43" t="s">
        <v>69</v>
      </c>
      <c r="D508" s="43" t="s">
        <v>52</v>
      </c>
      <c r="E508" s="43" t="s">
        <v>510</v>
      </c>
      <c r="F508" s="74"/>
      <c r="G508" s="94">
        <f t="shared" si="63"/>
        <v>300</v>
      </c>
      <c r="H508" s="94">
        <f t="shared" si="63"/>
        <v>300</v>
      </c>
      <c r="I508" s="94">
        <f t="shared" si="63"/>
        <v>300</v>
      </c>
    </row>
    <row r="509" spans="1:9" ht="47.25">
      <c r="A509" s="40" t="s">
        <v>20</v>
      </c>
      <c r="B509" s="43" t="s">
        <v>797</v>
      </c>
      <c r="C509" s="43" t="s">
        <v>69</v>
      </c>
      <c r="D509" s="43" t="s">
        <v>52</v>
      </c>
      <c r="E509" s="43" t="s">
        <v>510</v>
      </c>
      <c r="F509" s="74" t="s">
        <v>100</v>
      </c>
      <c r="G509" s="94">
        <v>300</v>
      </c>
      <c r="H509" s="94">
        <v>300</v>
      </c>
      <c r="I509" s="94">
        <v>300</v>
      </c>
    </row>
    <row r="510" spans="1:9" ht="71.25" customHeight="1" hidden="1">
      <c r="A510" s="40" t="s">
        <v>597</v>
      </c>
      <c r="B510" s="43" t="s">
        <v>797</v>
      </c>
      <c r="C510" s="43" t="s">
        <v>69</v>
      </c>
      <c r="D510" s="43" t="s">
        <v>52</v>
      </c>
      <c r="E510" s="43" t="s">
        <v>599</v>
      </c>
      <c r="F510" s="43"/>
      <c r="G510" s="94">
        <f>G511</f>
        <v>0</v>
      </c>
      <c r="H510" s="94"/>
      <c r="I510" s="94"/>
    </row>
    <row r="511" spans="1:9" ht="75" customHeight="1" hidden="1">
      <c r="A511" s="40" t="s">
        <v>598</v>
      </c>
      <c r="B511" s="43" t="s">
        <v>797</v>
      </c>
      <c r="C511" s="43" t="s">
        <v>69</v>
      </c>
      <c r="D511" s="43" t="s">
        <v>52</v>
      </c>
      <c r="E511" s="43" t="s">
        <v>600</v>
      </c>
      <c r="F511" s="43"/>
      <c r="G511" s="94">
        <f>G512</f>
        <v>0</v>
      </c>
      <c r="H511" s="94"/>
      <c r="I511" s="94"/>
    </row>
    <row r="512" spans="1:9" ht="86.25" customHeight="1" hidden="1">
      <c r="A512" s="40" t="s">
        <v>355</v>
      </c>
      <c r="B512" s="43" t="s">
        <v>797</v>
      </c>
      <c r="C512" s="43" t="s">
        <v>69</v>
      </c>
      <c r="D512" s="43" t="s">
        <v>52</v>
      </c>
      <c r="E512" s="43" t="s">
        <v>600</v>
      </c>
      <c r="F512" s="43" t="s">
        <v>356</v>
      </c>
      <c r="G512" s="94">
        <v>0</v>
      </c>
      <c r="H512" s="94"/>
      <c r="I512" s="94"/>
    </row>
    <row r="513" spans="1:9" ht="108.75" customHeight="1">
      <c r="A513" s="40" t="s">
        <v>892</v>
      </c>
      <c r="B513" s="43" t="s">
        <v>797</v>
      </c>
      <c r="C513" s="43" t="s">
        <v>69</v>
      </c>
      <c r="D513" s="43" t="s">
        <v>52</v>
      </c>
      <c r="E513" s="43" t="s">
        <v>377</v>
      </c>
      <c r="F513" s="74"/>
      <c r="G513" s="45">
        <f>G514+G517</f>
        <v>13462.300000000001</v>
      </c>
      <c r="H513" s="45">
        <f>H514</f>
        <v>1634.1</v>
      </c>
      <c r="I513" s="45">
        <f>I514</f>
        <v>20</v>
      </c>
    </row>
    <row r="514" spans="1:9" ht="78.75">
      <c r="A514" s="40" t="s">
        <v>931</v>
      </c>
      <c r="B514" s="43" t="s">
        <v>797</v>
      </c>
      <c r="C514" s="43" t="s">
        <v>69</v>
      </c>
      <c r="D514" s="43" t="s">
        <v>52</v>
      </c>
      <c r="E514" s="43" t="s">
        <v>893</v>
      </c>
      <c r="F514" s="74"/>
      <c r="G514" s="45">
        <f aca="true" t="shared" si="64" ref="G514:I515">G515</f>
        <v>63.20000000000001</v>
      </c>
      <c r="H514" s="45">
        <f t="shared" si="64"/>
        <v>1634.1</v>
      </c>
      <c r="I514" s="45">
        <f t="shared" si="64"/>
        <v>20</v>
      </c>
    </row>
    <row r="515" spans="1:9" ht="31.5">
      <c r="A515" s="40" t="s">
        <v>378</v>
      </c>
      <c r="B515" s="43" t="s">
        <v>797</v>
      </c>
      <c r="C515" s="43" t="s">
        <v>69</v>
      </c>
      <c r="D515" s="43" t="s">
        <v>52</v>
      </c>
      <c r="E515" s="43" t="s">
        <v>896</v>
      </c>
      <c r="F515" s="74"/>
      <c r="G515" s="45">
        <f>G516</f>
        <v>63.20000000000001</v>
      </c>
      <c r="H515" s="45">
        <f t="shared" si="64"/>
        <v>1634.1</v>
      </c>
      <c r="I515" s="45">
        <f t="shared" si="64"/>
        <v>20</v>
      </c>
    </row>
    <row r="516" spans="1:9" ht="47.25">
      <c r="A516" s="40" t="s">
        <v>20</v>
      </c>
      <c r="B516" s="43" t="s">
        <v>797</v>
      </c>
      <c r="C516" s="43" t="s">
        <v>69</v>
      </c>
      <c r="D516" s="43" t="s">
        <v>52</v>
      </c>
      <c r="E516" s="43" t="s">
        <v>896</v>
      </c>
      <c r="F516" s="74" t="s">
        <v>100</v>
      </c>
      <c r="G516" s="94">
        <v>63.20000000000001</v>
      </c>
      <c r="H516" s="94">
        <f>220+714.1+700</f>
        <v>1634.1</v>
      </c>
      <c r="I516" s="94">
        <f>220-200</f>
        <v>20</v>
      </c>
    </row>
    <row r="517" spans="1:9" ht="55.5" customHeight="1">
      <c r="A517" s="40" t="s">
        <v>1020</v>
      </c>
      <c r="B517" s="43" t="s">
        <v>797</v>
      </c>
      <c r="C517" s="43" t="s">
        <v>69</v>
      </c>
      <c r="D517" s="43" t="s">
        <v>52</v>
      </c>
      <c r="E517" s="43" t="s">
        <v>1022</v>
      </c>
      <c r="F517" s="74"/>
      <c r="G517" s="94">
        <f>G518</f>
        <v>13399.1</v>
      </c>
      <c r="H517" s="94"/>
      <c r="I517" s="94"/>
    </row>
    <row r="518" spans="1:9" ht="67.5" customHeight="1">
      <c r="A518" s="40" t="s">
        <v>1021</v>
      </c>
      <c r="B518" s="43" t="s">
        <v>797</v>
      </c>
      <c r="C518" s="43" t="s">
        <v>69</v>
      </c>
      <c r="D518" s="43" t="s">
        <v>52</v>
      </c>
      <c r="E518" s="43" t="s">
        <v>1023</v>
      </c>
      <c r="F518" s="74"/>
      <c r="G518" s="94">
        <f>G519</f>
        <v>13399.1</v>
      </c>
      <c r="H518" s="94"/>
      <c r="I518" s="94"/>
    </row>
    <row r="519" spans="1:9" ht="15.75">
      <c r="A519" s="40" t="s">
        <v>420</v>
      </c>
      <c r="B519" s="43" t="s">
        <v>797</v>
      </c>
      <c r="C519" s="43" t="s">
        <v>69</v>
      </c>
      <c r="D519" s="43" t="s">
        <v>52</v>
      </c>
      <c r="E519" s="43" t="s">
        <v>1023</v>
      </c>
      <c r="F519" s="74" t="s">
        <v>419</v>
      </c>
      <c r="G519" s="94">
        <v>13399.1</v>
      </c>
      <c r="H519" s="94"/>
      <c r="I519" s="94"/>
    </row>
    <row r="520" spans="1:9" ht="63">
      <c r="A520" s="40" t="s">
        <v>836</v>
      </c>
      <c r="B520" s="43" t="s">
        <v>797</v>
      </c>
      <c r="C520" s="43" t="s">
        <v>69</v>
      </c>
      <c r="D520" s="43" t="s">
        <v>52</v>
      </c>
      <c r="E520" s="43" t="s">
        <v>139</v>
      </c>
      <c r="F520" s="43"/>
      <c r="G520" s="59">
        <f>G521+G524</f>
        <v>39361.4</v>
      </c>
      <c r="H520" s="59">
        <f>H521+H524</f>
        <v>16840.600000000002</v>
      </c>
      <c r="I520" s="59">
        <f>I521+I524</f>
        <v>0</v>
      </c>
    </row>
    <row r="521" spans="1:9" ht="63">
      <c r="A521" s="40" t="s">
        <v>852</v>
      </c>
      <c r="B521" s="43" t="s">
        <v>797</v>
      </c>
      <c r="C521" s="43" t="s">
        <v>69</v>
      </c>
      <c r="D521" s="43" t="s">
        <v>52</v>
      </c>
      <c r="E521" s="44" t="s">
        <v>853</v>
      </c>
      <c r="F521" s="44"/>
      <c r="G521" s="59">
        <f aca="true" t="shared" si="65" ref="G521:I522">G522</f>
        <v>2200</v>
      </c>
      <c r="H521" s="59">
        <f t="shared" si="65"/>
        <v>0</v>
      </c>
      <c r="I521" s="59">
        <f t="shared" si="65"/>
        <v>0</v>
      </c>
    </row>
    <row r="522" spans="1:9" ht="47.25">
      <c r="A522" s="40" t="s">
        <v>854</v>
      </c>
      <c r="B522" s="43" t="s">
        <v>797</v>
      </c>
      <c r="C522" s="43" t="s">
        <v>69</v>
      </c>
      <c r="D522" s="43" t="s">
        <v>52</v>
      </c>
      <c r="E522" s="44" t="s">
        <v>855</v>
      </c>
      <c r="F522" s="44"/>
      <c r="G522" s="59">
        <f t="shared" si="65"/>
        <v>2200</v>
      </c>
      <c r="H522" s="59">
        <f t="shared" si="65"/>
        <v>0</v>
      </c>
      <c r="I522" s="59">
        <f t="shared" si="65"/>
        <v>0</v>
      </c>
    </row>
    <row r="523" spans="1:9" ht="15.75">
      <c r="A523" s="40" t="s">
        <v>420</v>
      </c>
      <c r="B523" s="43" t="s">
        <v>797</v>
      </c>
      <c r="C523" s="43" t="s">
        <v>69</v>
      </c>
      <c r="D523" s="43" t="s">
        <v>52</v>
      </c>
      <c r="E523" s="44" t="s">
        <v>855</v>
      </c>
      <c r="F523" s="44" t="s">
        <v>419</v>
      </c>
      <c r="G523" s="59">
        <v>2200</v>
      </c>
      <c r="H523" s="59">
        <v>0</v>
      </c>
      <c r="I523" s="59">
        <v>0</v>
      </c>
    </row>
    <row r="524" spans="1:9" ht="31.5">
      <c r="A524" s="168" t="s">
        <v>529</v>
      </c>
      <c r="B524" s="43" t="s">
        <v>797</v>
      </c>
      <c r="C524" s="43" t="s">
        <v>69</v>
      </c>
      <c r="D524" s="43" t="s">
        <v>52</v>
      </c>
      <c r="E524" s="169" t="s">
        <v>530</v>
      </c>
      <c r="F524" s="151"/>
      <c r="G524" s="148">
        <f aca="true" t="shared" si="66" ref="G524:I525">G525</f>
        <v>37161.4</v>
      </c>
      <c r="H524" s="148">
        <f t="shared" si="66"/>
        <v>16840.600000000002</v>
      </c>
      <c r="I524" s="94">
        <f t="shared" si="66"/>
        <v>0</v>
      </c>
    </row>
    <row r="525" spans="1:9" ht="63">
      <c r="A525" s="170" t="s">
        <v>532</v>
      </c>
      <c r="B525" s="43" t="s">
        <v>797</v>
      </c>
      <c r="C525" s="43" t="s">
        <v>69</v>
      </c>
      <c r="D525" s="43" t="s">
        <v>52</v>
      </c>
      <c r="E525" s="44" t="s">
        <v>531</v>
      </c>
      <c r="F525" s="74"/>
      <c r="G525" s="94">
        <f t="shared" si="66"/>
        <v>37161.4</v>
      </c>
      <c r="H525" s="94">
        <f t="shared" si="66"/>
        <v>16840.600000000002</v>
      </c>
      <c r="I525" s="94">
        <f t="shared" si="66"/>
        <v>0</v>
      </c>
    </row>
    <row r="526" spans="1:9" ht="15.75">
      <c r="A526" s="40" t="s">
        <v>420</v>
      </c>
      <c r="B526" s="43" t="s">
        <v>797</v>
      </c>
      <c r="C526" s="43" t="s">
        <v>69</v>
      </c>
      <c r="D526" s="43" t="s">
        <v>52</v>
      </c>
      <c r="E526" s="44" t="s">
        <v>531</v>
      </c>
      <c r="F526" s="74" t="s">
        <v>419</v>
      </c>
      <c r="G526" s="94">
        <f>539.6+36621.8</f>
        <v>37161.4</v>
      </c>
      <c r="H526" s="45">
        <f>16672.2+168.4</f>
        <v>16840.600000000002</v>
      </c>
      <c r="I526" s="45">
        <v>0</v>
      </c>
    </row>
    <row r="527" spans="1:9" ht="15.75">
      <c r="A527" s="40" t="s">
        <v>214</v>
      </c>
      <c r="B527" s="43" t="s">
        <v>797</v>
      </c>
      <c r="C527" s="43" t="s">
        <v>69</v>
      </c>
      <c r="D527" s="43" t="s">
        <v>52</v>
      </c>
      <c r="E527" s="43" t="s">
        <v>372</v>
      </c>
      <c r="F527" s="43"/>
      <c r="G527" s="59">
        <f aca="true" t="shared" si="67" ref="G527:I528">G528</f>
        <v>136</v>
      </c>
      <c r="H527" s="45">
        <f t="shared" si="67"/>
        <v>0</v>
      </c>
      <c r="I527" s="45">
        <f t="shared" si="67"/>
        <v>0</v>
      </c>
    </row>
    <row r="528" spans="1:9" ht="15.75">
      <c r="A528" s="40" t="s">
        <v>215</v>
      </c>
      <c r="B528" s="43" t="s">
        <v>797</v>
      </c>
      <c r="C528" s="43" t="s">
        <v>69</v>
      </c>
      <c r="D528" s="43" t="s">
        <v>52</v>
      </c>
      <c r="E528" s="43" t="s">
        <v>373</v>
      </c>
      <c r="F528" s="43"/>
      <c r="G528" s="59">
        <f t="shared" si="67"/>
        <v>136</v>
      </c>
      <c r="H528" s="45">
        <f t="shared" si="67"/>
        <v>0</v>
      </c>
      <c r="I528" s="45">
        <f t="shared" si="67"/>
        <v>0</v>
      </c>
    </row>
    <row r="529" spans="1:9" ht="47.25">
      <c r="A529" s="40" t="s">
        <v>20</v>
      </c>
      <c r="B529" s="43" t="s">
        <v>797</v>
      </c>
      <c r="C529" s="43" t="s">
        <v>69</v>
      </c>
      <c r="D529" s="43" t="s">
        <v>52</v>
      </c>
      <c r="E529" s="43" t="s">
        <v>373</v>
      </c>
      <c r="F529" s="43" t="s">
        <v>100</v>
      </c>
      <c r="G529" s="59">
        <v>136</v>
      </c>
      <c r="H529" s="59">
        <v>0</v>
      </c>
      <c r="I529" s="59">
        <v>0</v>
      </c>
    </row>
    <row r="530" spans="1:9" ht="15.75">
      <c r="A530" s="40" t="s">
        <v>397</v>
      </c>
      <c r="B530" s="43" t="s">
        <v>797</v>
      </c>
      <c r="C530" s="43" t="s">
        <v>69</v>
      </c>
      <c r="D530" s="43" t="s">
        <v>54</v>
      </c>
      <c r="E530" s="43"/>
      <c r="F530" s="43"/>
      <c r="G530" s="59">
        <f>G568+G535+G539+G531</f>
        <v>16923.4</v>
      </c>
      <c r="H530" s="59">
        <f>H568+H535+H539+H531</f>
        <v>7339.6</v>
      </c>
      <c r="I530" s="59">
        <f>I568+I535+I539+I531</f>
        <v>5180.7</v>
      </c>
    </row>
    <row r="531" spans="1:9" ht="94.5">
      <c r="A531" s="40" t="s">
        <v>892</v>
      </c>
      <c r="B531" s="43" t="s">
        <v>797</v>
      </c>
      <c r="C531" s="43" t="s">
        <v>69</v>
      </c>
      <c r="D531" s="43" t="s">
        <v>54</v>
      </c>
      <c r="E531" s="43" t="s">
        <v>377</v>
      </c>
      <c r="F531" s="74"/>
      <c r="G531" s="45">
        <f>G532</f>
        <v>3762.7</v>
      </c>
      <c r="H531" s="45">
        <f>H532</f>
        <v>3762.7</v>
      </c>
      <c r="I531" s="45">
        <f>I532</f>
        <v>3762.7</v>
      </c>
    </row>
    <row r="532" spans="1:9" ht="62.25" customHeight="1">
      <c r="A532" s="182" t="s">
        <v>1018</v>
      </c>
      <c r="B532" s="43" t="s">
        <v>797</v>
      </c>
      <c r="C532" s="43" t="s">
        <v>69</v>
      </c>
      <c r="D532" s="43" t="s">
        <v>54</v>
      </c>
      <c r="E532" s="43" t="s">
        <v>897</v>
      </c>
      <c r="F532" s="74"/>
      <c r="G532" s="45">
        <f aca="true" t="shared" si="68" ref="G532:I533">G533</f>
        <v>3762.7</v>
      </c>
      <c r="H532" s="45">
        <f t="shared" si="68"/>
        <v>3762.7</v>
      </c>
      <c r="I532" s="45">
        <f t="shared" si="68"/>
        <v>3762.7</v>
      </c>
    </row>
    <row r="533" spans="1:9" ht="15.75">
      <c r="A533" s="40" t="s">
        <v>894</v>
      </c>
      <c r="B533" s="43" t="s">
        <v>797</v>
      </c>
      <c r="C533" s="43" t="s">
        <v>69</v>
      </c>
      <c r="D533" s="43" t="s">
        <v>54</v>
      </c>
      <c r="E533" s="43" t="s">
        <v>898</v>
      </c>
      <c r="F533" s="74"/>
      <c r="G533" s="45">
        <f>G534</f>
        <v>3762.7</v>
      </c>
      <c r="H533" s="45">
        <f t="shared" si="68"/>
        <v>3762.7</v>
      </c>
      <c r="I533" s="45">
        <f t="shared" si="68"/>
        <v>3762.7</v>
      </c>
    </row>
    <row r="534" spans="1:9" ht="47.25">
      <c r="A534" s="40" t="s">
        <v>20</v>
      </c>
      <c r="B534" s="43" t="s">
        <v>797</v>
      </c>
      <c r="C534" s="43" t="s">
        <v>69</v>
      </c>
      <c r="D534" s="43" t="s">
        <v>54</v>
      </c>
      <c r="E534" s="43" t="s">
        <v>898</v>
      </c>
      <c r="F534" s="74" t="s">
        <v>100</v>
      </c>
      <c r="G534" s="94">
        <f>2822+940.7</f>
        <v>3762.7</v>
      </c>
      <c r="H534" s="94">
        <f>2822+940.7</f>
        <v>3762.7</v>
      </c>
      <c r="I534" s="94">
        <f>2822+940.7</f>
        <v>3762.7</v>
      </c>
    </row>
    <row r="535" spans="1:9" ht="63">
      <c r="A535" s="40" t="s">
        <v>836</v>
      </c>
      <c r="B535" s="43" t="s">
        <v>797</v>
      </c>
      <c r="C535" s="43" t="s">
        <v>69</v>
      </c>
      <c r="D535" s="43" t="s">
        <v>54</v>
      </c>
      <c r="E535" s="43" t="s">
        <v>139</v>
      </c>
      <c r="F535" s="74"/>
      <c r="G535" s="94">
        <f aca="true" t="shared" si="69" ref="G535:I536">G536</f>
        <v>764</v>
      </c>
      <c r="H535" s="94">
        <f t="shared" si="69"/>
        <v>0</v>
      </c>
      <c r="I535" s="94">
        <f t="shared" si="69"/>
        <v>0</v>
      </c>
    </row>
    <row r="536" spans="1:9" ht="63">
      <c r="A536" s="40" t="s">
        <v>849</v>
      </c>
      <c r="B536" s="43" t="s">
        <v>797</v>
      </c>
      <c r="C536" s="43" t="s">
        <v>69</v>
      </c>
      <c r="D536" s="43" t="s">
        <v>54</v>
      </c>
      <c r="E536" s="43" t="s">
        <v>850</v>
      </c>
      <c r="F536" s="74"/>
      <c r="G536" s="45">
        <f t="shared" si="69"/>
        <v>764</v>
      </c>
      <c r="H536" s="45">
        <f t="shared" si="69"/>
        <v>0</v>
      </c>
      <c r="I536" s="45">
        <f t="shared" si="69"/>
        <v>0</v>
      </c>
    </row>
    <row r="537" spans="1:9" ht="63">
      <c r="A537" s="40" t="s">
        <v>990</v>
      </c>
      <c r="B537" s="43" t="s">
        <v>797</v>
      </c>
      <c r="C537" s="43" t="s">
        <v>69</v>
      </c>
      <c r="D537" s="43" t="s">
        <v>54</v>
      </c>
      <c r="E537" s="43" t="s">
        <v>851</v>
      </c>
      <c r="F537" s="74"/>
      <c r="G537" s="45">
        <f>G538</f>
        <v>764</v>
      </c>
      <c r="H537" s="45"/>
      <c r="I537" s="45"/>
    </row>
    <row r="538" spans="1:9" ht="47.25">
      <c r="A538" s="40" t="s">
        <v>20</v>
      </c>
      <c r="B538" s="43" t="s">
        <v>797</v>
      </c>
      <c r="C538" s="43" t="s">
        <v>69</v>
      </c>
      <c r="D538" s="43" t="s">
        <v>54</v>
      </c>
      <c r="E538" s="43" t="s">
        <v>851</v>
      </c>
      <c r="F538" s="74" t="s">
        <v>100</v>
      </c>
      <c r="G538" s="45">
        <f>756.4+7.6</f>
        <v>764</v>
      </c>
      <c r="H538" s="45"/>
      <c r="I538" s="45"/>
    </row>
    <row r="539" spans="1:9" ht="63">
      <c r="A539" s="37" t="s">
        <v>856</v>
      </c>
      <c r="B539" s="43" t="s">
        <v>797</v>
      </c>
      <c r="C539" s="43" t="s">
        <v>69</v>
      </c>
      <c r="D539" s="43" t="s">
        <v>54</v>
      </c>
      <c r="E539" s="43" t="s">
        <v>169</v>
      </c>
      <c r="F539" s="74"/>
      <c r="G539" s="45">
        <f>G540+G543+G546+G549+G552+G555+G560+G563</f>
        <v>7965.9</v>
      </c>
      <c r="H539" s="45">
        <f>H540+H543+H546+H549+H552+H555+H560+H563</f>
        <v>1418</v>
      </c>
      <c r="I539" s="45">
        <f>I540+I543+I546+I549+I552+I555+I560+I563</f>
        <v>1418</v>
      </c>
    </row>
    <row r="540" spans="1:9" ht="31.5">
      <c r="A540" s="37" t="s">
        <v>857</v>
      </c>
      <c r="B540" s="43" t="s">
        <v>797</v>
      </c>
      <c r="C540" s="43" t="s">
        <v>69</v>
      </c>
      <c r="D540" s="43" t="s">
        <v>54</v>
      </c>
      <c r="E540" s="43" t="s">
        <v>858</v>
      </c>
      <c r="F540" s="74"/>
      <c r="G540" s="45">
        <f aca="true" t="shared" si="70" ref="G540:I541">G541</f>
        <v>145.5</v>
      </c>
      <c r="H540" s="45">
        <f t="shared" si="70"/>
        <v>800</v>
      </c>
      <c r="I540" s="45">
        <f t="shared" si="70"/>
        <v>800</v>
      </c>
    </row>
    <row r="541" spans="1:9" ht="31.5">
      <c r="A541" s="40" t="s">
        <v>784</v>
      </c>
      <c r="B541" s="43" t="s">
        <v>797</v>
      </c>
      <c r="C541" s="43" t="s">
        <v>69</v>
      </c>
      <c r="D541" s="43" t="s">
        <v>54</v>
      </c>
      <c r="E541" s="43" t="s">
        <v>859</v>
      </c>
      <c r="F541" s="74"/>
      <c r="G541" s="45">
        <f t="shared" si="70"/>
        <v>145.5</v>
      </c>
      <c r="H541" s="45">
        <f t="shared" si="70"/>
        <v>800</v>
      </c>
      <c r="I541" s="45">
        <f t="shared" si="70"/>
        <v>800</v>
      </c>
    </row>
    <row r="542" spans="1:9" ht="47.25">
      <c r="A542" s="40" t="s">
        <v>20</v>
      </c>
      <c r="B542" s="43" t="s">
        <v>797</v>
      </c>
      <c r="C542" s="43" t="s">
        <v>69</v>
      </c>
      <c r="D542" s="43" t="s">
        <v>54</v>
      </c>
      <c r="E542" s="43" t="s">
        <v>859</v>
      </c>
      <c r="F542" s="74" t="s">
        <v>100</v>
      </c>
      <c r="G542" s="45">
        <v>145.5</v>
      </c>
      <c r="H542" s="45">
        <v>800</v>
      </c>
      <c r="I542" s="45">
        <v>800</v>
      </c>
    </row>
    <row r="543" spans="1:9" ht="94.5">
      <c r="A543" s="37" t="s">
        <v>860</v>
      </c>
      <c r="B543" s="43" t="s">
        <v>797</v>
      </c>
      <c r="C543" s="43" t="s">
        <v>69</v>
      </c>
      <c r="D543" s="43" t="s">
        <v>54</v>
      </c>
      <c r="E543" s="43" t="s">
        <v>861</v>
      </c>
      <c r="F543" s="74"/>
      <c r="G543" s="45">
        <f aca="true" t="shared" si="71" ref="G543:I544">G544</f>
        <v>30</v>
      </c>
      <c r="H543" s="45">
        <f t="shared" si="71"/>
        <v>30</v>
      </c>
      <c r="I543" s="45">
        <f t="shared" si="71"/>
        <v>30</v>
      </c>
    </row>
    <row r="544" spans="1:9" ht="31.5">
      <c r="A544" s="40" t="s">
        <v>784</v>
      </c>
      <c r="B544" s="43" t="s">
        <v>797</v>
      </c>
      <c r="C544" s="43" t="s">
        <v>69</v>
      </c>
      <c r="D544" s="43" t="s">
        <v>54</v>
      </c>
      <c r="E544" s="43" t="s">
        <v>862</v>
      </c>
      <c r="F544" s="74"/>
      <c r="G544" s="45">
        <f t="shared" si="71"/>
        <v>30</v>
      </c>
      <c r="H544" s="45">
        <f t="shared" si="71"/>
        <v>30</v>
      </c>
      <c r="I544" s="45">
        <f t="shared" si="71"/>
        <v>30</v>
      </c>
    </row>
    <row r="545" spans="1:9" ht="47.25">
      <c r="A545" s="40" t="s">
        <v>20</v>
      </c>
      <c r="B545" s="43" t="s">
        <v>797</v>
      </c>
      <c r="C545" s="43" t="s">
        <v>69</v>
      </c>
      <c r="D545" s="43" t="s">
        <v>54</v>
      </c>
      <c r="E545" s="43" t="s">
        <v>862</v>
      </c>
      <c r="F545" s="74" t="s">
        <v>100</v>
      </c>
      <c r="G545" s="45">
        <v>30</v>
      </c>
      <c r="H545" s="45">
        <v>30</v>
      </c>
      <c r="I545" s="45">
        <v>30</v>
      </c>
    </row>
    <row r="546" spans="1:9" ht="31.5" hidden="1">
      <c r="A546" s="37" t="s">
        <v>863</v>
      </c>
      <c r="B546" s="43" t="s">
        <v>797</v>
      </c>
      <c r="C546" s="43" t="s">
        <v>69</v>
      </c>
      <c r="D546" s="43" t="s">
        <v>54</v>
      </c>
      <c r="E546" s="43" t="s">
        <v>864</v>
      </c>
      <c r="F546" s="74"/>
      <c r="G546" s="45">
        <f aca="true" t="shared" si="72" ref="G546:I547">G547</f>
        <v>0</v>
      </c>
      <c r="H546" s="45">
        <f t="shared" si="72"/>
        <v>0</v>
      </c>
      <c r="I546" s="45">
        <f t="shared" si="72"/>
        <v>0</v>
      </c>
    </row>
    <row r="547" spans="1:9" ht="31.5" hidden="1">
      <c r="A547" s="40" t="s">
        <v>784</v>
      </c>
      <c r="B547" s="43" t="s">
        <v>797</v>
      </c>
      <c r="C547" s="43" t="s">
        <v>69</v>
      </c>
      <c r="D547" s="43" t="s">
        <v>54</v>
      </c>
      <c r="E547" s="43" t="s">
        <v>865</v>
      </c>
      <c r="F547" s="74"/>
      <c r="G547" s="45">
        <f t="shared" si="72"/>
        <v>0</v>
      </c>
      <c r="H547" s="45">
        <f t="shared" si="72"/>
        <v>0</v>
      </c>
      <c r="I547" s="45">
        <f t="shared" si="72"/>
        <v>0</v>
      </c>
    </row>
    <row r="548" spans="1:9" ht="47.25" hidden="1">
      <c r="A548" s="40" t="s">
        <v>20</v>
      </c>
      <c r="B548" s="43" t="s">
        <v>797</v>
      </c>
      <c r="C548" s="43" t="s">
        <v>69</v>
      </c>
      <c r="D548" s="43" t="s">
        <v>54</v>
      </c>
      <c r="E548" s="43" t="s">
        <v>865</v>
      </c>
      <c r="F548" s="74" t="s">
        <v>100</v>
      </c>
      <c r="G548" s="45">
        <v>0</v>
      </c>
      <c r="H548" s="45">
        <v>0</v>
      </c>
      <c r="I548" s="45">
        <v>0</v>
      </c>
    </row>
    <row r="549" spans="1:9" ht="47.25" hidden="1">
      <c r="A549" s="37" t="s">
        <v>866</v>
      </c>
      <c r="B549" s="43" t="s">
        <v>797</v>
      </c>
      <c r="C549" s="43" t="s">
        <v>69</v>
      </c>
      <c r="D549" s="43" t="s">
        <v>54</v>
      </c>
      <c r="E549" s="43" t="s">
        <v>885</v>
      </c>
      <c r="F549" s="43"/>
      <c r="G549" s="45">
        <f aca="true" t="shared" si="73" ref="G549:I550">G550</f>
        <v>0</v>
      </c>
      <c r="H549" s="45">
        <f t="shared" si="73"/>
        <v>0</v>
      </c>
      <c r="I549" s="45">
        <f t="shared" si="73"/>
        <v>0</v>
      </c>
    </row>
    <row r="550" spans="1:9" ht="31.5" hidden="1">
      <c r="A550" s="40" t="s">
        <v>784</v>
      </c>
      <c r="B550" s="43" t="s">
        <v>797</v>
      </c>
      <c r="C550" s="43" t="s">
        <v>69</v>
      </c>
      <c r="D550" s="43" t="s">
        <v>54</v>
      </c>
      <c r="E550" s="43" t="s">
        <v>867</v>
      </c>
      <c r="F550" s="74"/>
      <c r="G550" s="45">
        <f t="shared" si="73"/>
        <v>0</v>
      </c>
      <c r="H550" s="45">
        <f t="shared" si="73"/>
        <v>0</v>
      </c>
      <c r="I550" s="45">
        <f t="shared" si="73"/>
        <v>0</v>
      </c>
    </row>
    <row r="551" spans="1:9" ht="47.25" hidden="1">
      <c r="A551" s="40" t="s">
        <v>20</v>
      </c>
      <c r="B551" s="43" t="s">
        <v>797</v>
      </c>
      <c r="C551" s="43" t="s">
        <v>69</v>
      </c>
      <c r="D551" s="43" t="s">
        <v>54</v>
      </c>
      <c r="E551" s="43" t="s">
        <v>867</v>
      </c>
      <c r="F551" s="74" t="s">
        <v>100</v>
      </c>
      <c r="G551" s="45">
        <v>0</v>
      </c>
      <c r="H551" s="45">
        <v>0</v>
      </c>
      <c r="I551" s="45">
        <v>0</v>
      </c>
    </row>
    <row r="552" spans="1:9" ht="31.5">
      <c r="A552" s="37" t="s">
        <v>868</v>
      </c>
      <c r="B552" s="43" t="s">
        <v>797</v>
      </c>
      <c r="C552" s="43" t="s">
        <v>69</v>
      </c>
      <c r="D552" s="43" t="s">
        <v>54</v>
      </c>
      <c r="E552" s="43" t="s">
        <v>886</v>
      </c>
      <c r="F552" s="43"/>
      <c r="G552" s="45">
        <f aca="true" t="shared" si="74" ref="G552:I553">G553</f>
        <v>197</v>
      </c>
      <c r="H552" s="45">
        <f t="shared" si="74"/>
        <v>197</v>
      </c>
      <c r="I552" s="45">
        <f t="shared" si="74"/>
        <v>197</v>
      </c>
    </row>
    <row r="553" spans="1:9" ht="31.5">
      <c r="A553" s="40" t="s">
        <v>869</v>
      </c>
      <c r="B553" s="43" t="s">
        <v>797</v>
      </c>
      <c r="C553" s="43" t="s">
        <v>69</v>
      </c>
      <c r="D553" s="43" t="s">
        <v>54</v>
      </c>
      <c r="E553" s="43" t="s">
        <v>870</v>
      </c>
      <c r="F553" s="74"/>
      <c r="G553" s="45">
        <f t="shared" si="74"/>
        <v>197</v>
      </c>
      <c r="H553" s="45">
        <f t="shared" si="74"/>
        <v>197</v>
      </c>
      <c r="I553" s="45">
        <f t="shared" si="74"/>
        <v>197</v>
      </c>
    </row>
    <row r="554" spans="1:9" ht="47.25">
      <c r="A554" s="40" t="s">
        <v>20</v>
      </c>
      <c r="B554" s="43" t="s">
        <v>797</v>
      </c>
      <c r="C554" s="43" t="s">
        <v>69</v>
      </c>
      <c r="D554" s="43" t="s">
        <v>54</v>
      </c>
      <c r="E554" s="43" t="s">
        <v>870</v>
      </c>
      <c r="F554" s="74" t="s">
        <v>100</v>
      </c>
      <c r="G554" s="94">
        <v>197</v>
      </c>
      <c r="H554" s="94">
        <v>197</v>
      </c>
      <c r="I554" s="94">
        <v>197</v>
      </c>
    </row>
    <row r="555" spans="1:9" ht="31.5">
      <c r="A555" s="37" t="s">
        <v>871</v>
      </c>
      <c r="B555" s="43" t="s">
        <v>797</v>
      </c>
      <c r="C555" s="43" t="s">
        <v>69</v>
      </c>
      <c r="D555" s="43" t="s">
        <v>54</v>
      </c>
      <c r="E555" s="43" t="s">
        <v>884</v>
      </c>
      <c r="F555" s="43"/>
      <c r="G555" s="94">
        <f>G556+G558</f>
        <v>850</v>
      </c>
      <c r="H555" s="94">
        <f aca="true" t="shared" si="75" ref="G555:I558">H556</f>
        <v>350</v>
      </c>
      <c r="I555" s="94">
        <f t="shared" si="75"/>
        <v>350</v>
      </c>
    </row>
    <row r="556" spans="1:9" ht="38.25" customHeight="1">
      <c r="A556" s="40" t="s">
        <v>784</v>
      </c>
      <c r="B556" s="43" t="s">
        <v>797</v>
      </c>
      <c r="C556" s="43" t="s">
        <v>69</v>
      </c>
      <c r="D556" s="43" t="s">
        <v>54</v>
      </c>
      <c r="E556" s="43" t="s">
        <v>872</v>
      </c>
      <c r="F556" s="74"/>
      <c r="G556" s="59">
        <f t="shared" si="75"/>
        <v>0</v>
      </c>
      <c r="H556" s="59">
        <f t="shared" si="75"/>
        <v>350</v>
      </c>
      <c r="I556" s="59">
        <f t="shared" si="75"/>
        <v>350</v>
      </c>
    </row>
    <row r="557" spans="1:9" ht="54.75" customHeight="1">
      <c r="A557" s="40" t="s">
        <v>20</v>
      </c>
      <c r="B557" s="43" t="s">
        <v>797</v>
      </c>
      <c r="C557" s="43" t="s">
        <v>69</v>
      </c>
      <c r="D557" s="43" t="s">
        <v>54</v>
      </c>
      <c r="E557" s="43" t="s">
        <v>872</v>
      </c>
      <c r="F557" s="74" t="s">
        <v>100</v>
      </c>
      <c r="G557" s="59">
        <v>0</v>
      </c>
      <c r="H557" s="59">
        <v>350</v>
      </c>
      <c r="I557" s="59">
        <v>350</v>
      </c>
    </row>
    <row r="558" spans="1:9" ht="15.75">
      <c r="A558" s="40" t="s">
        <v>936</v>
      </c>
      <c r="B558" s="43" t="s">
        <v>797</v>
      </c>
      <c r="C558" s="43" t="s">
        <v>69</v>
      </c>
      <c r="D558" s="43" t="s">
        <v>54</v>
      </c>
      <c r="E558" s="43" t="s">
        <v>1016</v>
      </c>
      <c r="F558" s="74"/>
      <c r="G558" s="59">
        <f t="shared" si="75"/>
        <v>850</v>
      </c>
      <c r="H558" s="59"/>
      <c r="I558" s="59"/>
    </row>
    <row r="559" spans="1:9" ht="15.75">
      <c r="A559" s="125" t="s">
        <v>110</v>
      </c>
      <c r="B559" s="43" t="s">
        <v>797</v>
      </c>
      <c r="C559" s="43" t="s">
        <v>69</v>
      </c>
      <c r="D559" s="43" t="s">
        <v>54</v>
      </c>
      <c r="E559" s="43" t="s">
        <v>1016</v>
      </c>
      <c r="F559" s="74" t="s">
        <v>111</v>
      </c>
      <c r="G559" s="59">
        <f>350+500</f>
        <v>850</v>
      </c>
      <c r="H559" s="59"/>
      <c r="I559" s="59"/>
    </row>
    <row r="560" spans="1:9" ht="31.5">
      <c r="A560" s="37" t="s">
        <v>873</v>
      </c>
      <c r="B560" s="43" t="s">
        <v>797</v>
      </c>
      <c r="C560" s="43" t="s">
        <v>69</v>
      </c>
      <c r="D560" s="43" t="s">
        <v>54</v>
      </c>
      <c r="E560" s="43" t="s">
        <v>883</v>
      </c>
      <c r="F560" s="43"/>
      <c r="G560" s="59">
        <f aca="true" t="shared" si="76" ref="G560:I561">G561</f>
        <v>11</v>
      </c>
      <c r="H560" s="59">
        <f t="shared" si="76"/>
        <v>41</v>
      </c>
      <c r="I560" s="59">
        <f t="shared" si="76"/>
        <v>41</v>
      </c>
    </row>
    <row r="561" spans="1:9" ht="31.5">
      <c r="A561" s="40" t="s">
        <v>784</v>
      </c>
      <c r="B561" s="43" t="s">
        <v>797</v>
      </c>
      <c r="C561" s="43" t="s">
        <v>69</v>
      </c>
      <c r="D561" s="43" t="s">
        <v>54</v>
      </c>
      <c r="E561" s="43" t="s">
        <v>874</v>
      </c>
      <c r="F561" s="74"/>
      <c r="G561" s="94">
        <f t="shared" si="76"/>
        <v>11</v>
      </c>
      <c r="H561" s="94">
        <f t="shared" si="76"/>
        <v>41</v>
      </c>
      <c r="I561" s="94">
        <f t="shared" si="76"/>
        <v>41</v>
      </c>
    </row>
    <row r="562" spans="1:9" ht="47.25">
      <c r="A562" s="40" t="s">
        <v>20</v>
      </c>
      <c r="B562" s="43" t="s">
        <v>797</v>
      </c>
      <c r="C562" s="43" t="s">
        <v>69</v>
      </c>
      <c r="D562" s="43" t="s">
        <v>54</v>
      </c>
      <c r="E562" s="43" t="s">
        <v>874</v>
      </c>
      <c r="F562" s="74" t="s">
        <v>100</v>
      </c>
      <c r="G562" s="94">
        <v>11</v>
      </c>
      <c r="H562" s="94">
        <v>41</v>
      </c>
      <c r="I562" s="94">
        <v>41</v>
      </c>
    </row>
    <row r="563" spans="1:9" ht="31.5">
      <c r="A563" s="37" t="s">
        <v>880</v>
      </c>
      <c r="B563" s="43" t="s">
        <v>797</v>
      </c>
      <c r="C563" s="43" t="s">
        <v>69</v>
      </c>
      <c r="D563" s="43" t="s">
        <v>54</v>
      </c>
      <c r="E563" s="43" t="s">
        <v>879</v>
      </c>
      <c r="F563" s="43"/>
      <c r="G563" s="59">
        <f>G564+G566</f>
        <v>6732.4</v>
      </c>
      <c r="H563" s="59">
        <f>H564+H566</f>
        <v>0</v>
      </c>
      <c r="I563" s="59">
        <f>I564+I566</f>
        <v>0</v>
      </c>
    </row>
    <row r="564" spans="1:9" ht="31.5">
      <c r="A564" s="40" t="s">
        <v>421</v>
      </c>
      <c r="B564" s="43" t="s">
        <v>797</v>
      </c>
      <c r="C564" s="43" t="s">
        <v>69</v>
      </c>
      <c r="D564" s="43" t="s">
        <v>54</v>
      </c>
      <c r="E564" s="43" t="s">
        <v>881</v>
      </c>
      <c r="F564" s="74"/>
      <c r="G564" s="59">
        <f>G565</f>
        <v>6321</v>
      </c>
      <c r="H564" s="59">
        <f>H565</f>
        <v>0</v>
      </c>
      <c r="I564" s="59">
        <f>I565</f>
        <v>0</v>
      </c>
    </row>
    <row r="565" spans="1:9" ht="47.25">
      <c r="A565" s="40" t="s">
        <v>20</v>
      </c>
      <c r="B565" s="43" t="s">
        <v>797</v>
      </c>
      <c r="C565" s="43" t="s">
        <v>69</v>
      </c>
      <c r="D565" s="43" t="s">
        <v>54</v>
      </c>
      <c r="E565" s="43" t="s">
        <v>881</v>
      </c>
      <c r="F565" s="74" t="s">
        <v>100</v>
      </c>
      <c r="G565" s="59">
        <v>6321</v>
      </c>
      <c r="H565" s="59">
        <v>0</v>
      </c>
      <c r="I565" s="59">
        <v>0</v>
      </c>
    </row>
    <row r="566" spans="1:9" ht="63">
      <c r="A566" s="40" t="s">
        <v>422</v>
      </c>
      <c r="B566" s="43" t="s">
        <v>797</v>
      </c>
      <c r="C566" s="43" t="s">
        <v>69</v>
      </c>
      <c r="D566" s="43" t="s">
        <v>54</v>
      </c>
      <c r="E566" s="43" t="s">
        <v>882</v>
      </c>
      <c r="F566" s="43"/>
      <c r="G566" s="59">
        <f>G567</f>
        <v>411.4</v>
      </c>
      <c r="H566" s="59">
        <f>H567</f>
        <v>0</v>
      </c>
      <c r="I566" s="59">
        <f>I567</f>
        <v>0</v>
      </c>
    </row>
    <row r="567" spans="1:9" ht="47.25">
      <c r="A567" s="40" t="s">
        <v>20</v>
      </c>
      <c r="B567" s="43" t="s">
        <v>797</v>
      </c>
      <c r="C567" s="43" t="s">
        <v>69</v>
      </c>
      <c r="D567" s="43" t="s">
        <v>54</v>
      </c>
      <c r="E567" s="43" t="s">
        <v>882</v>
      </c>
      <c r="F567" s="43" t="s">
        <v>100</v>
      </c>
      <c r="G567" s="59">
        <v>411.4</v>
      </c>
      <c r="H567" s="59">
        <v>0</v>
      </c>
      <c r="I567" s="59">
        <v>0</v>
      </c>
    </row>
    <row r="568" spans="1:9" ht="78.75">
      <c r="A568" s="40" t="s">
        <v>786</v>
      </c>
      <c r="B568" s="43" t="s">
        <v>797</v>
      </c>
      <c r="C568" s="43" t="s">
        <v>69</v>
      </c>
      <c r="D568" s="43" t="s">
        <v>54</v>
      </c>
      <c r="E568" s="43" t="s">
        <v>398</v>
      </c>
      <c r="F568" s="74"/>
      <c r="G568" s="94">
        <f>G576+G569</f>
        <v>4430.8</v>
      </c>
      <c r="H568" s="94">
        <f>H576+H569</f>
        <v>2158.9</v>
      </c>
      <c r="I568" s="94">
        <f>I576+I569</f>
        <v>0</v>
      </c>
    </row>
    <row r="569" spans="1:9" ht="47.25">
      <c r="A569" s="40" t="s">
        <v>775</v>
      </c>
      <c r="B569" s="43" t="s">
        <v>797</v>
      </c>
      <c r="C569" s="43" t="s">
        <v>69</v>
      </c>
      <c r="D569" s="43" t="s">
        <v>54</v>
      </c>
      <c r="E569" s="43" t="s">
        <v>776</v>
      </c>
      <c r="F569" s="74"/>
      <c r="G569" s="94">
        <f>G573+G570</f>
        <v>2415.3</v>
      </c>
      <c r="H569" s="94">
        <f>H573+H570</f>
        <v>0</v>
      </c>
      <c r="I569" s="94">
        <f>I573+I570</f>
        <v>0</v>
      </c>
    </row>
    <row r="570" spans="1:9" ht="31.5">
      <c r="A570" s="40" t="s">
        <v>783</v>
      </c>
      <c r="B570" s="43" t="s">
        <v>797</v>
      </c>
      <c r="C570" s="43" t="s">
        <v>69</v>
      </c>
      <c r="D570" s="43" t="s">
        <v>54</v>
      </c>
      <c r="E570" s="43" t="s">
        <v>782</v>
      </c>
      <c r="F570" s="74"/>
      <c r="G570" s="94">
        <f aca="true" t="shared" si="77" ref="G570:I571">G571</f>
        <v>40</v>
      </c>
      <c r="H570" s="94">
        <f t="shared" si="77"/>
        <v>0</v>
      </c>
      <c r="I570" s="94">
        <f t="shared" si="77"/>
        <v>0</v>
      </c>
    </row>
    <row r="571" spans="1:9" ht="31.5">
      <c r="A571" s="40" t="s">
        <v>784</v>
      </c>
      <c r="B571" s="43" t="s">
        <v>797</v>
      </c>
      <c r="C571" s="43" t="s">
        <v>69</v>
      </c>
      <c r="D571" s="43" t="s">
        <v>54</v>
      </c>
      <c r="E571" s="43" t="s">
        <v>785</v>
      </c>
      <c r="F571" s="74"/>
      <c r="G571" s="94">
        <f t="shared" si="77"/>
        <v>40</v>
      </c>
      <c r="H571" s="94">
        <f t="shared" si="77"/>
        <v>0</v>
      </c>
      <c r="I571" s="94">
        <f t="shared" si="77"/>
        <v>0</v>
      </c>
    </row>
    <row r="572" spans="1:9" ht="47.25">
      <c r="A572" s="40" t="s">
        <v>20</v>
      </c>
      <c r="B572" s="43" t="s">
        <v>797</v>
      </c>
      <c r="C572" s="43" t="s">
        <v>69</v>
      </c>
      <c r="D572" s="43" t="s">
        <v>54</v>
      </c>
      <c r="E572" s="43" t="s">
        <v>785</v>
      </c>
      <c r="F572" s="74" t="s">
        <v>100</v>
      </c>
      <c r="G572" s="94">
        <v>40</v>
      </c>
      <c r="H572" s="94">
        <v>0</v>
      </c>
      <c r="I572" s="94">
        <v>0</v>
      </c>
    </row>
    <row r="573" spans="1:9" ht="78.75">
      <c r="A573" s="40" t="s">
        <v>777</v>
      </c>
      <c r="B573" s="43" t="s">
        <v>797</v>
      </c>
      <c r="C573" s="43" t="s">
        <v>69</v>
      </c>
      <c r="D573" s="43" t="s">
        <v>54</v>
      </c>
      <c r="E573" s="43" t="s">
        <v>778</v>
      </c>
      <c r="F573" s="74"/>
      <c r="G573" s="94">
        <f aca="true" t="shared" si="78" ref="G573:I574">G574</f>
        <v>2375.3</v>
      </c>
      <c r="H573" s="94">
        <f t="shared" si="78"/>
        <v>0</v>
      </c>
      <c r="I573" s="94">
        <f t="shared" si="78"/>
        <v>0</v>
      </c>
    </row>
    <row r="574" spans="1:9" ht="47.25">
      <c r="A574" s="40" t="s">
        <v>781</v>
      </c>
      <c r="B574" s="43" t="s">
        <v>797</v>
      </c>
      <c r="C574" s="43" t="s">
        <v>69</v>
      </c>
      <c r="D574" s="43" t="s">
        <v>54</v>
      </c>
      <c r="E574" s="43" t="s">
        <v>993</v>
      </c>
      <c r="F574" s="74"/>
      <c r="G574" s="94">
        <f t="shared" si="78"/>
        <v>2375.3</v>
      </c>
      <c r="H574" s="94">
        <f t="shared" si="78"/>
        <v>0</v>
      </c>
      <c r="I574" s="94">
        <f t="shared" si="78"/>
        <v>0</v>
      </c>
    </row>
    <row r="575" spans="1:9" ht="47.25">
      <c r="A575" s="40" t="s">
        <v>20</v>
      </c>
      <c r="B575" s="43" t="s">
        <v>797</v>
      </c>
      <c r="C575" s="43" t="s">
        <v>69</v>
      </c>
      <c r="D575" s="43" t="s">
        <v>54</v>
      </c>
      <c r="E575" s="43" t="s">
        <v>993</v>
      </c>
      <c r="F575" s="74" t="s">
        <v>100</v>
      </c>
      <c r="G575" s="94">
        <f>2137.8+237.5</f>
        <v>2375.3</v>
      </c>
      <c r="H575" s="45">
        <v>0</v>
      </c>
      <c r="I575" s="94">
        <v>0</v>
      </c>
    </row>
    <row r="576" spans="1:9" ht="47.25">
      <c r="A576" s="40" t="s">
        <v>779</v>
      </c>
      <c r="B576" s="43" t="s">
        <v>797</v>
      </c>
      <c r="C576" s="43" t="s">
        <v>69</v>
      </c>
      <c r="D576" s="43" t="s">
        <v>54</v>
      </c>
      <c r="E576" s="43" t="s">
        <v>399</v>
      </c>
      <c r="F576" s="74"/>
      <c r="G576" s="94">
        <f>G580+G577</f>
        <v>2015.5</v>
      </c>
      <c r="H576" s="94">
        <f>H580+H577</f>
        <v>2158.9</v>
      </c>
      <c r="I576" s="94">
        <f>I580+I577</f>
        <v>0</v>
      </c>
    </row>
    <row r="577" spans="1:9" ht="31.5">
      <c r="A577" s="40" t="s">
        <v>783</v>
      </c>
      <c r="B577" s="43" t="s">
        <v>797</v>
      </c>
      <c r="C577" s="43" t="s">
        <v>69</v>
      </c>
      <c r="D577" s="43" t="s">
        <v>54</v>
      </c>
      <c r="E577" s="43" t="s">
        <v>787</v>
      </c>
      <c r="F577" s="74"/>
      <c r="G577" s="94">
        <f aca="true" t="shared" si="79" ref="G577:I578">G578</f>
        <v>40</v>
      </c>
      <c r="H577" s="94">
        <f t="shared" si="79"/>
        <v>40</v>
      </c>
      <c r="I577" s="94">
        <f t="shared" si="79"/>
        <v>0</v>
      </c>
    </row>
    <row r="578" spans="1:9" ht="41.25" customHeight="1">
      <c r="A578" s="40" t="s">
        <v>784</v>
      </c>
      <c r="B578" s="43" t="s">
        <v>797</v>
      </c>
      <c r="C578" s="43" t="s">
        <v>69</v>
      </c>
      <c r="D578" s="43" t="s">
        <v>54</v>
      </c>
      <c r="E578" s="43" t="s">
        <v>788</v>
      </c>
      <c r="F578" s="74"/>
      <c r="G578" s="94">
        <f t="shared" si="79"/>
        <v>40</v>
      </c>
      <c r="H578" s="94">
        <f t="shared" si="79"/>
        <v>40</v>
      </c>
      <c r="I578" s="94">
        <f t="shared" si="79"/>
        <v>0</v>
      </c>
    </row>
    <row r="579" spans="1:9" ht="36" customHeight="1">
      <c r="A579" s="40" t="s">
        <v>20</v>
      </c>
      <c r="B579" s="43" t="s">
        <v>797</v>
      </c>
      <c r="C579" s="43" t="s">
        <v>69</v>
      </c>
      <c r="D579" s="43" t="s">
        <v>54</v>
      </c>
      <c r="E579" s="43" t="s">
        <v>788</v>
      </c>
      <c r="F579" s="74" t="s">
        <v>100</v>
      </c>
      <c r="G579" s="94">
        <v>40</v>
      </c>
      <c r="H579" s="94">
        <v>40</v>
      </c>
      <c r="I579" s="94">
        <v>0</v>
      </c>
    </row>
    <row r="580" spans="1:9" ht="101.25" customHeight="1">
      <c r="A580" s="40" t="s">
        <v>780</v>
      </c>
      <c r="B580" s="43" t="s">
        <v>797</v>
      </c>
      <c r="C580" s="43" t="s">
        <v>69</v>
      </c>
      <c r="D580" s="43" t="s">
        <v>54</v>
      </c>
      <c r="E580" s="43" t="s">
        <v>430</v>
      </c>
      <c r="F580" s="74"/>
      <c r="G580" s="94">
        <f aca="true" t="shared" si="80" ref="G580:I581">G581</f>
        <v>1975.5</v>
      </c>
      <c r="H580" s="94">
        <f t="shared" si="80"/>
        <v>2118.9</v>
      </c>
      <c r="I580" s="94">
        <f t="shared" si="80"/>
        <v>0</v>
      </c>
    </row>
    <row r="581" spans="1:9" ht="54" customHeight="1">
      <c r="A581" s="40" t="s">
        <v>501</v>
      </c>
      <c r="B581" s="43" t="s">
        <v>797</v>
      </c>
      <c r="C581" s="43" t="s">
        <v>69</v>
      </c>
      <c r="D581" s="43" t="s">
        <v>54</v>
      </c>
      <c r="E581" s="43" t="s">
        <v>431</v>
      </c>
      <c r="F581" s="74"/>
      <c r="G581" s="94">
        <f t="shared" si="80"/>
        <v>1975.5</v>
      </c>
      <c r="H581" s="94">
        <f t="shared" si="80"/>
        <v>2118.9</v>
      </c>
      <c r="I581" s="94">
        <f t="shared" si="80"/>
        <v>0</v>
      </c>
    </row>
    <row r="582" spans="1:9" ht="47.25">
      <c r="A582" s="40" t="s">
        <v>20</v>
      </c>
      <c r="B582" s="43" t="s">
        <v>797</v>
      </c>
      <c r="C582" s="43" t="s">
        <v>69</v>
      </c>
      <c r="D582" s="43" t="s">
        <v>54</v>
      </c>
      <c r="E582" s="43" t="s">
        <v>431</v>
      </c>
      <c r="F582" s="74" t="s">
        <v>100</v>
      </c>
      <c r="G582" s="94">
        <v>1975.5</v>
      </c>
      <c r="H582" s="45">
        <v>2118.9</v>
      </c>
      <c r="I582" s="45">
        <v>0</v>
      </c>
    </row>
    <row r="583" spans="1:9" ht="31.5" hidden="1">
      <c r="A583" s="40" t="s">
        <v>887</v>
      </c>
      <c r="B583" s="43" t="s">
        <v>797</v>
      </c>
      <c r="C583" s="43" t="s">
        <v>69</v>
      </c>
      <c r="D583" s="43" t="s">
        <v>69</v>
      </c>
      <c r="E583" s="43"/>
      <c r="F583" s="74"/>
      <c r="G583" s="94">
        <f aca="true" t="shared" si="81" ref="G583:I586">G584</f>
        <v>0</v>
      </c>
      <c r="H583" s="94">
        <f t="shared" si="81"/>
        <v>0</v>
      </c>
      <c r="I583" s="94">
        <f t="shared" si="81"/>
        <v>0</v>
      </c>
    </row>
    <row r="584" spans="1:9" ht="63" hidden="1">
      <c r="A584" s="37" t="s">
        <v>856</v>
      </c>
      <c r="B584" s="43" t="s">
        <v>797</v>
      </c>
      <c r="C584" s="43" t="s">
        <v>69</v>
      </c>
      <c r="D584" s="43" t="s">
        <v>69</v>
      </c>
      <c r="E584" s="43" t="s">
        <v>169</v>
      </c>
      <c r="F584" s="74"/>
      <c r="G584" s="94">
        <f t="shared" si="81"/>
        <v>0</v>
      </c>
      <c r="H584" s="94">
        <f t="shared" si="81"/>
        <v>0</v>
      </c>
      <c r="I584" s="94">
        <f t="shared" si="81"/>
        <v>0</v>
      </c>
    </row>
    <row r="585" spans="1:9" ht="31.5" hidden="1">
      <c r="A585" s="37" t="s">
        <v>876</v>
      </c>
      <c r="B585" s="43" t="s">
        <v>797</v>
      </c>
      <c r="C585" s="43" t="s">
        <v>69</v>
      </c>
      <c r="D585" s="43" t="s">
        <v>69</v>
      </c>
      <c r="E585" s="43" t="s">
        <v>875</v>
      </c>
      <c r="F585" s="43"/>
      <c r="G585" s="94">
        <f t="shared" si="81"/>
        <v>0</v>
      </c>
      <c r="H585" s="94">
        <f t="shared" si="81"/>
        <v>0</v>
      </c>
      <c r="I585" s="94">
        <f t="shared" si="81"/>
        <v>0</v>
      </c>
    </row>
    <row r="586" spans="1:9" ht="31.5" hidden="1">
      <c r="A586" s="40" t="s">
        <v>877</v>
      </c>
      <c r="B586" s="43" t="s">
        <v>797</v>
      </c>
      <c r="C586" s="43" t="s">
        <v>69</v>
      </c>
      <c r="D586" s="43" t="s">
        <v>69</v>
      </c>
      <c r="E586" s="43" t="s">
        <v>878</v>
      </c>
      <c r="F586" s="74"/>
      <c r="G586" s="94">
        <f t="shared" si="81"/>
        <v>0</v>
      </c>
      <c r="H586" s="94">
        <f t="shared" si="81"/>
        <v>0</v>
      </c>
      <c r="I586" s="94">
        <f t="shared" si="81"/>
        <v>0</v>
      </c>
    </row>
    <row r="587" spans="1:9" ht="47.25" hidden="1">
      <c r="A587" s="37" t="s">
        <v>96</v>
      </c>
      <c r="B587" s="43" t="s">
        <v>797</v>
      </c>
      <c r="C587" s="43" t="s">
        <v>69</v>
      </c>
      <c r="D587" s="43" t="s">
        <v>69</v>
      </c>
      <c r="E587" s="43" t="s">
        <v>878</v>
      </c>
      <c r="F587" s="74" t="s">
        <v>97</v>
      </c>
      <c r="G587" s="94">
        <v>0</v>
      </c>
      <c r="H587" s="94">
        <v>0</v>
      </c>
      <c r="I587" s="94">
        <v>0</v>
      </c>
    </row>
    <row r="588" spans="1:9" ht="15.75">
      <c r="A588" s="40" t="s">
        <v>75</v>
      </c>
      <c r="B588" s="43" t="s">
        <v>797</v>
      </c>
      <c r="C588" s="43" t="s">
        <v>58</v>
      </c>
      <c r="D588" s="43"/>
      <c r="E588" s="43"/>
      <c r="F588" s="43"/>
      <c r="G588" s="59">
        <f aca="true" t="shared" si="82" ref="G588:I589">G589</f>
        <v>1865.9</v>
      </c>
      <c r="H588" s="45">
        <f t="shared" si="82"/>
        <v>1865.9</v>
      </c>
      <c r="I588" s="45">
        <f t="shared" si="82"/>
        <v>1865.9</v>
      </c>
    </row>
    <row r="589" spans="1:9" ht="31.5">
      <c r="A589" s="40" t="s">
        <v>232</v>
      </c>
      <c r="B589" s="43" t="s">
        <v>797</v>
      </c>
      <c r="C589" s="43" t="s">
        <v>58</v>
      </c>
      <c r="D589" s="43" t="s">
        <v>69</v>
      </c>
      <c r="E589" s="43"/>
      <c r="F589" s="43"/>
      <c r="G589" s="59">
        <f t="shared" si="82"/>
        <v>1865.9</v>
      </c>
      <c r="H589" s="45">
        <f t="shared" si="82"/>
        <v>1865.9</v>
      </c>
      <c r="I589" s="45">
        <f t="shared" si="82"/>
        <v>1865.9</v>
      </c>
    </row>
    <row r="590" spans="1:9" ht="63">
      <c r="A590" s="40" t="s">
        <v>836</v>
      </c>
      <c r="B590" s="43" t="s">
        <v>797</v>
      </c>
      <c r="C590" s="43" t="s">
        <v>58</v>
      </c>
      <c r="D590" s="43" t="s">
        <v>69</v>
      </c>
      <c r="E590" s="43" t="s">
        <v>139</v>
      </c>
      <c r="F590" s="43"/>
      <c r="G590" s="59">
        <f>G594+G600+G603+G597+G591</f>
        <v>1865.9</v>
      </c>
      <c r="H590" s="59">
        <f>H594+H600+H603+H597+H591</f>
        <v>1865.9</v>
      </c>
      <c r="I590" s="59">
        <f>I594+I600+I603+I597+I591</f>
        <v>1865.9</v>
      </c>
    </row>
    <row r="591" spans="1:9" ht="72.75" customHeight="1">
      <c r="A591" s="40" t="s">
        <v>545</v>
      </c>
      <c r="B591" s="43" t="s">
        <v>797</v>
      </c>
      <c r="C591" s="43" t="s">
        <v>58</v>
      </c>
      <c r="D591" s="43" t="s">
        <v>69</v>
      </c>
      <c r="E591" s="43" t="s">
        <v>544</v>
      </c>
      <c r="F591" s="103"/>
      <c r="G591" s="94">
        <f aca="true" t="shared" si="83" ref="G591:I592">G592</f>
        <v>1200</v>
      </c>
      <c r="H591" s="94">
        <f t="shared" si="83"/>
        <v>1200</v>
      </c>
      <c r="I591" s="94">
        <f t="shared" si="83"/>
        <v>1200</v>
      </c>
    </row>
    <row r="592" spans="1:9" ht="36.75" customHeight="1">
      <c r="A592" s="40" t="s">
        <v>106</v>
      </c>
      <c r="B592" s="43" t="s">
        <v>797</v>
      </c>
      <c r="C592" s="43" t="s">
        <v>58</v>
      </c>
      <c r="D592" s="43" t="s">
        <v>69</v>
      </c>
      <c r="E592" s="43" t="s">
        <v>546</v>
      </c>
      <c r="F592" s="103"/>
      <c r="G592" s="94">
        <f t="shared" si="83"/>
        <v>1200</v>
      </c>
      <c r="H592" s="94">
        <f t="shared" si="83"/>
        <v>1200</v>
      </c>
      <c r="I592" s="94">
        <f t="shared" si="83"/>
        <v>1200</v>
      </c>
    </row>
    <row r="593" spans="1:9" ht="51.75" customHeight="1">
      <c r="A593" s="40" t="s">
        <v>20</v>
      </c>
      <c r="B593" s="43" t="s">
        <v>797</v>
      </c>
      <c r="C593" s="43" t="s">
        <v>58</v>
      </c>
      <c r="D593" s="43" t="s">
        <v>69</v>
      </c>
      <c r="E593" s="43" t="s">
        <v>546</v>
      </c>
      <c r="F593" s="74" t="s">
        <v>100</v>
      </c>
      <c r="G593" s="94">
        <v>1200</v>
      </c>
      <c r="H593" s="94">
        <v>1200</v>
      </c>
      <c r="I593" s="94">
        <v>1200</v>
      </c>
    </row>
    <row r="594" spans="1:9" ht="63">
      <c r="A594" s="40" t="s">
        <v>847</v>
      </c>
      <c r="B594" s="43" t="s">
        <v>797</v>
      </c>
      <c r="C594" s="43" t="s">
        <v>58</v>
      </c>
      <c r="D594" s="43" t="s">
        <v>69</v>
      </c>
      <c r="E594" s="43" t="s">
        <v>18</v>
      </c>
      <c r="F594" s="43"/>
      <c r="G594" s="59">
        <f aca="true" t="shared" si="84" ref="G594:I595">G595</f>
        <v>15</v>
      </c>
      <c r="H594" s="45">
        <f t="shared" si="84"/>
        <v>15</v>
      </c>
      <c r="I594" s="45">
        <f t="shared" si="84"/>
        <v>15</v>
      </c>
    </row>
    <row r="595" spans="1:9" ht="36" customHeight="1">
      <c r="A595" s="40" t="s">
        <v>106</v>
      </c>
      <c r="B595" s="43" t="s">
        <v>797</v>
      </c>
      <c r="C595" s="43" t="s">
        <v>58</v>
      </c>
      <c r="D595" s="43" t="s">
        <v>69</v>
      </c>
      <c r="E595" s="43" t="s">
        <v>19</v>
      </c>
      <c r="F595" s="43"/>
      <c r="G595" s="59">
        <f t="shared" si="84"/>
        <v>15</v>
      </c>
      <c r="H595" s="45">
        <f t="shared" si="84"/>
        <v>15</v>
      </c>
      <c r="I595" s="45">
        <f t="shared" si="84"/>
        <v>15</v>
      </c>
    </row>
    <row r="596" spans="1:9" ht="51" customHeight="1">
      <c r="A596" s="40" t="s">
        <v>20</v>
      </c>
      <c r="B596" s="43" t="s">
        <v>797</v>
      </c>
      <c r="C596" s="43" t="s">
        <v>58</v>
      </c>
      <c r="D596" s="43" t="s">
        <v>69</v>
      </c>
      <c r="E596" s="43" t="s">
        <v>19</v>
      </c>
      <c r="F596" s="43" t="s">
        <v>100</v>
      </c>
      <c r="G596" s="45">
        <v>15</v>
      </c>
      <c r="H596" s="45">
        <v>15</v>
      </c>
      <c r="I596" s="45">
        <v>15</v>
      </c>
    </row>
    <row r="597" spans="1:9" ht="51" customHeight="1">
      <c r="A597" s="40" t="s">
        <v>140</v>
      </c>
      <c r="B597" s="43" t="s">
        <v>797</v>
      </c>
      <c r="C597" s="43" t="s">
        <v>58</v>
      </c>
      <c r="D597" s="43" t="s">
        <v>69</v>
      </c>
      <c r="E597" s="43" t="s">
        <v>141</v>
      </c>
      <c r="F597" s="43"/>
      <c r="G597" s="45">
        <f aca="true" t="shared" si="85" ref="G597:I598">G598</f>
        <v>30</v>
      </c>
      <c r="H597" s="45">
        <f t="shared" si="85"/>
        <v>30</v>
      </c>
      <c r="I597" s="45">
        <f t="shared" si="85"/>
        <v>30</v>
      </c>
    </row>
    <row r="598" spans="1:9" ht="31.5">
      <c r="A598" s="40" t="s">
        <v>106</v>
      </c>
      <c r="B598" s="43" t="s">
        <v>797</v>
      </c>
      <c r="C598" s="43" t="s">
        <v>58</v>
      </c>
      <c r="D598" s="43" t="s">
        <v>69</v>
      </c>
      <c r="E598" s="43" t="s">
        <v>142</v>
      </c>
      <c r="F598" s="43"/>
      <c r="G598" s="45">
        <f t="shared" si="85"/>
        <v>30</v>
      </c>
      <c r="H598" s="45">
        <f t="shared" si="85"/>
        <v>30</v>
      </c>
      <c r="I598" s="45">
        <f t="shared" si="85"/>
        <v>30</v>
      </c>
    </row>
    <row r="599" spans="1:9" ht="51" customHeight="1">
      <c r="A599" s="40" t="s">
        <v>20</v>
      </c>
      <c r="B599" s="43" t="s">
        <v>797</v>
      </c>
      <c r="C599" s="43" t="s">
        <v>58</v>
      </c>
      <c r="D599" s="43" t="s">
        <v>69</v>
      </c>
      <c r="E599" s="43" t="s">
        <v>142</v>
      </c>
      <c r="F599" s="43" t="s">
        <v>100</v>
      </c>
      <c r="G599" s="45">
        <v>30</v>
      </c>
      <c r="H599" s="45">
        <v>30</v>
      </c>
      <c r="I599" s="45">
        <v>30</v>
      </c>
    </row>
    <row r="600" spans="1:9" ht="63">
      <c r="A600" s="40" t="s">
        <v>848</v>
      </c>
      <c r="B600" s="43" t="s">
        <v>797</v>
      </c>
      <c r="C600" s="43" t="s">
        <v>58</v>
      </c>
      <c r="D600" s="43" t="s">
        <v>69</v>
      </c>
      <c r="E600" s="43" t="s">
        <v>137</v>
      </c>
      <c r="F600" s="43"/>
      <c r="G600" s="59">
        <f aca="true" t="shared" si="86" ref="G600:I601">G601</f>
        <v>15</v>
      </c>
      <c r="H600" s="45">
        <f t="shared" si="86"/>
        <v>15</v>
      </c>
      <c r="I600" s="45">
        <f t="shared" si="86"/>
        <v>15</v>
      </c>
    </row>
    <row r="601" spans="1:9" ht="31.5">
      <c r="A601" s="40" t="s">
        <v>106</v>
      </c>
      <c r="B601" s="43" t="s">
        <v>797</v>
      </c>
      <c r="C601" s="43" t="s">
        <v>58</v>
      </c>
      <c r="D601" s="43" t="s">
        <v>69</v>
      </c>
      <c r="E601" s="43" t="s">
        <v>279</v>
      </c>
      <c r="F601" s="43"/>
      <c r="G601" s="59">
        <f t="shared" si="86"/>
        <v>15</v>
      </c>
      <c r="H601" s="45">
        <f t="shared" si="86"/>
        <v>15</v>
      </c>
      <c r="I601" s="45">
        <f t="shared" si="86"/>
        <v>15</v>
      </c>
    </row>
    <row r="602" spans="1:9" ht="47.25">
      <c r="A602" s="40" t="s">
        <v>20</v>
      </c>
      <c r="B602" s="43" t="s">
        <v>797</v>
      </c>
      <c r="C602" s="43" t="s">
        <v>58</v>
      </c>
      <c r="D602" s="43" t="s">
        <v>69</v>
      </c>
      <c r="E602" s="43" t="s">
        <v>279</v>
      </c>
      <c r="F602" s="43" t="s">
        <v>100</v>
      </c>
      <c r="G602" s="59">
        <v>15</v>
      </c>
      <c r="H602" s="59">
        <v>15</v>
      </c>
      <c r="I602" s="59">
        <v>15</v>
      </c>
    </row>
    <row r="603" spans="1:9" ht="110.25">
      <c r="A603" s="40" t="s">
        <v>258</v>
      </c>
      <c r="B603" s="43" t="s">
        <v>797</v>
      </c>
      <c r="C603" s="43" t="s">
        <v>58</v>
      </c>
      <c r="D603" s="43" t="s">
        <v>69</v>
      </c>
      <c r="E603" s="44" t="s">
        <v>275</v>
      </c>
      <c r="F603" s="44"/>
      <c r="G603" s="59">
        <f aca="true" t="shared" si="87" ref="G603:I604">G604</f>
        <v>605.9</v>
      </c>
      <c r="H603" s="45">
        <f t="shared" si="87"/>
        <v>605.9</v>
      </c>
      <c r="I603" s="45">
        <f t="shared" si="87"/>
        <v>605.9</v>
      </c>
    </row>
    <row r="604" spans="1:9" ht="157.5">
      <c r="A604" s="124" t="s">
        <v>107</v>
      </c>
      <c r="B604" s="43" t="s">
        <v>797</v>
      </c>
      <c r="C604" s="43" t="s">
        <v>58</v>
      </c>
      <c r="D604" s="43" t="s">
        <v>69</v>
      </c>
      <c r="E604" s="44" t="s">
        <v>276</v>
      </c>
      <c r="F604" s="44"/>
      <c r="G604" s="59">
        <f t="shared" si="87"/>
        <v>605.9</v>
      </c>
      <c r="H604" s="45">
        <f t="shared" si="87"/>
        <v>605.9</v>
      </c>
      <c r="I604" s="45">
        <f t="shared" si="87"/>
        <v>605.9</v>
      </c>
    </row>
    <row r="605" spans="1:9" ht="47.25">
      <c r="A605" s="40" t="s">
        <v>20</v>
      </c>
      <c r="B605" s="43" t="s">
        <v>797</v>
      </c>
      <c r="C605" s="43" t="s">
        <v>58</v>
      </c>
      <c r="D605" s="43" t="s">
        <v>69</v>
      </c>
      <c r="E605" s="44" t="s">
        <v>276</v>
      </c>
      <c r="F605" s="44" t="s">
        <v>100</v>
      </c>
      <c r="G605" s="59">
        <v>605.9</v>
      </c>
      <c r="H605" s="59">
        <v>605.9</v>
      </c>
      <c r="I605" s="59">
        <v>605.9</v>
      </c>
    </row>
    <row r="606" spans="1:9" ht="15.75">
      <c r="A606" s="40" t="s">
        <v>76</v>
      </c>
      <c r="B606" s="43" t="s">
        <v>797</v>
      </c>
      <c r="C606" s="43" t="s">
        <v>59</v>
      </c>
      <c r="D606" s="43"/>
      <c r="E606" s="43"/>
      <c r="F606" s="43"/>
      <c r="G606" s="59">
        <f>G612+G635+G625+G607+G663</f>
        <v>10238</v>
      </c>
      <c r="H606" s="59">
        <f>H612+H635+H625+H607+H663</f>
        <v>10238</v>
      </c>
      <c r="I606" s="59">
        <f>I612+I635+I625+I607+I663</f>
        <v>10238</v>
      </c>
    </row>
    <row r="607" spans="1:9" ht="15.75" hidden="1">
      <c r="A607" s="40" t="s">
        <v>78</v>
      </c>
      <c r="B607" s="43" t="s">
        <v>797</v>
      </c>
      <c r="C607" s="43" t="s">
        <v>59</v>
      </c>
      <c r="D607" s="43" t="s">
        <v>52</v>
      </c>
      <c r="E607" s="43"/>
      <c r="F607" s="43"/>
      <c r="G607" s="59">
        <f aca="true" t="shared" si="88" ref="G607:H610">G608</f>
        <v>0</v>
      </c>
      <c r="H607" s="59">
        <f t="shared" si="88"/>
        <v>0</v>
      </c>
      <c r="I607" s="59">
        <f>I608</f>
        <v>0</v>
      </c>
    </row>
    <row r="608" spans="1:9" ht="78.75" hidden="1">
      <c r="A608" s="40" t="s">
        <v>789</v>
      </c>
      <c r="B608" s="43" t="s">
        <v>797</v>
      </c>
      <c r="C608" s="43" t="s">
        <v>59</v>
      </c>
      <c r="D608" s="43" t="s">
        <v>52</v>
      </c>
      <c r="E608" s="43" t="s">
        <v>484</v>
      </c>
      <c r="F608" s="43"/>
      <c r="G608" s="59">
        <f t="shared" si="88"/>
        <v>0</v>
      </c>
      <c r="H608" s="59">
        <f t="shared" si="88"/>
        <v>0</v>
      </c>
      <c r="I608" s="59">
        <f>I609</f>
        <v>0</v>
      </c>
    </row>
    <row r="609" spans="1:9" ht="31.5" hidden="1">
      <c r="A609" s="124" t="s">
        <v>567</v>
      </c>
      <c r="B609" s="43" t="s">
        <v>797</v>
      </c>
      <c r="C609" s="43" t="s">
        <v>59</v>
      </c>
      <c r="D609" s="43" t="s">
        <v>52</v>
      </c>
      <c r="E609" s="43" t="s">
        <v>555</v>
      </c>
      <c r="F609" s="43"/>
      <c r="G609" s="59">
        <f t="shared" si="88"/>
        <v>0</v>
      </c>
      <c r="H609" s="59">
        <f t="shared" si="88"/>
        <v>0</v>
      </c>
      <c r="I609" s="59">
        <f>I610</f>
        <v>0</v>
      </c>
    </row>
    <row r="610" spans="1:9" ht="47.25" hidden="1">
      <c r="A610" s="40" t="s">
        <v>568</v>
      </c>
      <c r="B610" s="43" t="s">
        <v>797</v>
      </c>
      <c r="C610" s="43" t="s">
        <v>59</v>
      </c>
      <c r="D610" s="43" t="s">
        <v>52</v>
      </c>
      <c r="E610" s="43" t="s">
        <v>569</v>
      </c>
      <c r="F610" s="43"/>
      <c r="G610" s="59">
        <f t="shared" si="88"/>
        <v>0</v>
      </c>
      <c r="H610" s="59">
        <f t="shared" si="88"/>
        <v>0</v>
      </c>
      <c r="I610" s="59">
        <f>I611</f>
        <v>0</v>
      </c>
    </row>
    <row r="611" spans="1:9" ht="15.75" hidden="1">
      <c r="A611" s="40" t="s">
        <v>420</v>
      </c>
      <c r="B611" s="43" t="s">
        <v>797</v>
      </c>
      <c r="C611" s="43" t="s">
        <v>59</v>
      </c>
      <c r="D611" s="43" t="s">
        <v>52</v>
      </c>
      <c r="E611" s="43" t="s">
        <v>569</v>
      </c>
      <c r="F611" s="43" t="s">
        <v>419</v>
      </c>
      <c r="G611" s="59">
        <v>0</v>
      </c>
      <c r="H611" s="59">
        <v>0</v>
      </c>
      <c r="I611" s="94">
        <v>0</v>
      </c>
    </row>
    <row r="612" spans="1:9" ht="15.75">
      <c r="A612" s="40" t="s">
        <v>347</v>
      </c>
      <c r="B612" s="43" t="s">
        <v>797</v>
      </c>
      <c r="C612" s="43" t="s">
        <v>59</v>
      </c>
      <c r="D612" s="43" t="s">
        <v>54</v>
      </c>
      <c r="E612" s="43"/>
      <c r="F612" s="43"/>
      <c r="G612" s="59">
        <f>G618+G613</f>
        <v>7057.4</v>
      </c>
      <c r="H612" s="45">
        <f>H618+H613</f>
        <v>7057.4</v>
      </c>
      <c r="I612" s="45">
        <f>I618+I613</f>
        <v>7057.4</v>
      </c>
    </row>
    <row r="613" spans="1:9" ht="63">
      <c r="A613" s="40" t="s">
        <v>710</v>
      </c>
      <c r="B613" s="43" t="s">
        <v>797</v>
      </c>
      <c r="C613" s="43" t="s">
        <v>59</v>
      </c>
      <c r="D613" s="43" t="s">
        <v>54</v>
      </c>
      <c r="E613" s="43" t="s">
        <v>369</v>
      </c>
      <c r="F613" s="43"/>
      <c r="G613" s="59">
        <f aca="true" t="shared" si="89" ref="G613:I616">G614</f>
        <v>30</v>
      </c>
      <c r="H613" s="45">
        <f t="shared" si="89"/>
        <v>30</v>
      </c>
      <c r="I613" s="45">
        <f t="shared" si="89"/>
        <v>30</v>
      </c>
    </row>
    <row r="614" spans="1:9" ht="15.75">
      <c r="A614" s="124" t="s">
        <v>121</v>
      </c>
      <c r="B614" s="43" t="s">
        <v>797</v>
      </c>
      <c r="C614" s="43" t="s">
        <v>59</v>
      </c>
      <c r="D614" s="43" t="s">
        <v>54</v>
      </c>
      <c r="E614" s="44" t="s">
        <v>350</v>
      </c>
      <c r="F614" s="43"/>
      <c r="G614" s="59">
        <f t="shared" si="89"/>
        <v>30</v>
      </c>
      <c r="H614" s="45">
        <f t="shared" si="89"/>
        <v>30</v>
      </c>
      <c r="I614" s="45">
        <f t="shared" si="89"/>
        <v>30</v>
      </c>
    </row>
    <row r="615" spans="1:9" ht="31.5">
      <c r="A615" s="124" t="s">
        <v>199</v>
      </c>
      <c r="B615" s="43" t="s">
        <v>797</v>
      </c>
      <c r="C615" s="43" t="s">
        <v>59</v>
      </c>
      <c r="D615" s="43" t="s">
        <v>54</v>
      </c>
      <c r="E615" s="44" t="s">
        <v>351</v>
      </c>
      <c r="F615" s="43"/>
      <c r="G615" s="59">
        <f t="shared" si="89"/>
        <v>30</v>
      </c>
      <c r="H615" s="45">
        <f t="shared" si="89"/>
        <v>30</v>
      </c>
      <c r="I615" s="45">
        <f t="shared" si="89"/>
        <v>30</v>
      </c>
    </row>
    <row r="616" spans="1:9" ht="31.5">
      <c r="A616" s="40" t="s">
        <v>113</v>
      </c>
      <c r="B616" s="43" t="s">
        <v>797</v>
      </c>
      <c r="C616" s="43" t="s">
        <v>59</v>
      </c>
      <c r="D616" s="43" t="s">
        <v>54</v>
      </c>
      <c r="E616" s="44" t="s">
        <v>709</v>
      </c>
      <c r="F616" s="43"/>
      <c r="G616" s="59">
        <f t="shared" si="89"/>
        <v>30</v>
      </c>
      <c r="H616" s="45">
        <f t="shared" si="89"/>
        <v>30</v>
      </c>
      <c r="I616" s="45">
        <f t="shared" si="89"/>
        <v>30</v>
      </c>
    </row>
    <row r="617" spans="1:9" ht="18.75" customHeight="1">
      <c r="A617" s="40" t="s">
        <v>110</v>
      </c>
      <c r="B617" s="43" t="s">
        <v>797</v>
      </c>
      <c r="C617" s="43" t="s">
        <v>59</v>
      </c>
      <c r="D617" s="43" t="s">
        <v>54</v>
      </c>
      <c r="E617" s="44" t="s">
        <v>709</v>
      </c>
      <c r="F617" s="43" t="s">
        <v>111</v>
      </c>
      <c r="G617" s="59">
        <v>30</v>
      </c>
      <c r="H617" s="45">
        <v>30</v>
      </c>
      <c r="I617" s="45">
        <v>30</v>
      </c>
    </row>
    <row r="618" spans="1:9" ht="78.75">
      <c r="A618" s="40" t="s">
        <v>724</v>
      </c>
      <c r="B618" s="43" t="s">
        <v>797</v>
      </c>
      <c r="C618" s="43" t="s">
        <v>59</v>
      </c>
      <c r="D618" s="43" t="s">
        <v>54</v>
      </c>
      <c r="E618" s="43" t="s">
        <v>174</v>
      </c>
      <c r="F618" s="43"/>
      <c r="G618" s="59">
        <f aca="true" t="shared" si="90" ref="G618:I621">G619</f>
        <v>7027.4</v>
      </c>
      <c r="H618" s="45">
        <f t="shared" si="90"/>
        <v>7027.4</v>
      </c>
      <c r="I618" s="45">
        <f t="shared" si="90"/>
        <v>7027.4</v>
      </c>
    </row>
    <row r="619" spans="1:9" ht="31.5">
      <c r="A619" s="40" t="s">
        <v>290</v>
      </c>
      <c r="B619" s="43" t="s">
        <v>797</v>
      </c>
      <c r="C619" s="43" t="s">
        <v>59</v>
      </c>
      <c r="D619" s="43" t="s">
        <v>54</v>
      </c>
      <c r="E619" s="43" t="s">
        <v>175</v>
      </c>
      <c r="F619" s="43"/>
      <c r="G619" s="59">
        <f>G620</f>
        <v>7027.4</v>
      </c>
      <c r="H619" s="59">
        <f t="shared" si="90"/>
        <v>7027.4</v>
      </c>
      <c r="I619" s="59">
        <f t="shared" si="90"/>
        <v>7027.4</v>
      </c>
    </row>
    <row r="620" spans="1:9" ht="47.25">
      <c r="A620" s="40" t="s">
        <v>172</v>
      </c>
      <c r="B620" s="43" t="s">
        <v>797</v>
      </c>
      <c r="C620" s="43" t="s">
        <v>59</v>
      </c>
      <c r="D620" s="43" t="s">
        <v>54</v>
      </c>
      <c r="E620" s="43" t="s">
        <v>173</v>
      </c>
      <c r="F620" s="43"/>
      <c r="G620" s="59">
        <f>G621+G623</f>
        <v>7027.4</v>
      </c>
      <c r="H620" s="59">
        <f>H621+H623</f>
        <v>7027.4</v>
      </c>
      <c r="I620" s="59">
        <f>I621+I623</f>
        <v>7027.4</v>
      </c>
    </row>
    <row r="621" spans="1:9" ht="31.5">
      <c r="A621" s="40" t="s">
        <v>113</v>
      </c>
      <c r="B621" s="43" t="s">
        <v>797</v>
      </c>
      <c r="C621" s="43" t="s">
        <v>59</v>
      </c>
      <c r="D621" s="43" t="s">
        <v>54</v>
      </c>
      <c r="E621" s="43" t="s">
        <v>176</v>
      </c>
      <c r="F621" s="43"/>
      <c r="G621" s="59">
        <f t="shared" si="90"/>
        <v>5207.299999999999</v>
      </c>
      <c r="H621" s="45">
        <f t="shared" si="90"/>
        <v>5022.5</v>
      </c>
      <c r="I621" s="45">
        <f t="shared" si="90"/>
        <v>4833.4</v>
      </c>
    </row>
    <row r="622" spans="1:9" ht="15.75">
      <c r="A622" s="40" t="s">
        <v>110</v>
      </c>
      <c r="B622" s="43" t="s">
        <v>797</v>
      </c>
      <c r="C622" s="43" t="s">
        <v>59</v>
      </c>
      <c r="D622" s="43" t="s">
        <v>54</v>
      </c>
      <c r="E622" s="43" t="s">
        <v>176</v>
      </c>
      <c r="F622" s="43" t="s">
        <v>111</v>
      </c>
      <c r="G622" s="45">
        <f>7027.4-1820.1</f>
        <v>5207.299999999999</v>
      </c>
      <c r="H622" s="45">
        <f>7027.4-2004.9</f>
        <v>5022.5</v>
      </c>
      <c r="I622" s="45">
        <f>7027.4-2194</f>
        <v>4833.4</v>
      </c>
    </row>
    <row r="623" spans="1:9" ht="63">
      <c r="A623" s="40" t="s">
        <v>462</v>
      </c>
      <c r="B623" s="43" t="s">
        <v>797</v>
      </c>
      <c r="C623" s="43" t="s">
        <v>59</v>
      </c>
      <c r="D623" s="43" t="s">
        <v>54</v>
      </c>
      <c r="E623" s="43" t="s">
        <v>464</v>
      </c>
      <c r="F623" s="43"/>
      <c r="G623" s="59">
        <f>G624</f>
        <v>1820.1</v>
      </c>
      <c r="H623" s="59">
        <f>H624</f>
        <v>2004.9</v>
      </c>
      <c r="I623" s="59">
        <f>I624</f>
        <v>2194</v>
      </c>
    </row>
    <row r="624" spans="1:9" ht="15.75">
      <c r="A624" s="40" t="s">
        <v>110</v>
      </c>
      <c r="B624" s="43" t="s">
        <v>797</v>
      </c>
      <c r="C624" s="43" t="s">
        <v>59</v>
      </c>
      <c r="D624" s="43" t="s">
        <v>54</v>
      </c>
      <c r="E624" s="43" t="s">
        <v>464</v>
      </c>
      <c r="F624" s="43" t="s">
        <v>111</v>
      </c>
      <c r="G624" s="94">
        <v>1820.1</v>
      </c>
      <c r="H624" s="94">
        <v>2004.9</v>
      </c>
      <c r="I624" s="94">
        <v>2194</v>
      </c>
    </row>
    <row r="625" spans="1:9" ht="62.25" customHeight="1">
      <c r="A625" s="128" t="s">
        <v>520</v>
      </c>
      <c r="B625" s="43" t="s">
        <v>797</v>
      </c>
      <c r="C625" s="43" t="s">
        <v>59</v>
      </c>
      <c r="D625" s="43" t="s">
        <v>69</v>
      </c>
      <c r="E625" s="43"/>
      <c r="F625" s="43"/>
      <c r="G625" s="59">
        <f>G626</f>
        <v>210</v>
      </c>
      <c r="H625" s="59">
        <f>H626</f>
        <v>210</v>
      </c>
      <c r="I625" s="59">
        <f>I626</f>
        <v>210</v>
      </c>
    </row>
    <row r="626" spans="1:9" ht="78.75">
      <c r="A626" s="40" t="s">
        <v>687</v>
      </c>
      <c r="B626" s="43" t="s">
        <v>797</v>
      </c>
      <c r="C626" s="43" t="s">
        <v>59</v>
      </c>
      <c r="D626" s="43" t="s">
        <v>69</v>
      </c>
      <c r="E626" s="43" t="s">
        <v>566</v>
      </c>
      <c r="F626" s="43"/>
      <c r="G626" s="45">
        <f>G627+G631</f>
        <v>210</v>
      </c>
      <c r="H626" s="45">
        <f>H627+H631</f>
        <v>210</v>
      </c>
      <c r="I626" s="45">
        <f>I627+I631</f>
        <v>210</v>
      </c>
    </row>
    <row r="627" spans="1:9" ht="47.25">
      <c r="A627" s="40" t="s">
        <v>688</v>
      </c>
      <c r="B627" s="43" t="s">
        <v>797</v>
      </c>
      <c r="C627" s="43" t="s">
        <v>59</v>
      </c>
      <c r="D627" s="43" t="s">
        <v>69</v>
      </c>
      <c r="E627" s="43" t="s">
        <v>578</v>
      </c>
      <c r="F627" s="43"/>
      <c r="G627" s="45">
        <f aca="true" t="shared" si="91" ref="G627:I629">G628</f>
        <v>100</v>
      </c>
      <c r="H627" s="45">
        <f t="shared" si="91"/>
        <v>100</v>
      </c>
      <c r="I627" s="45">
        <f t="shared" si="91"/>
        <v>100</v>
      </c>
    </row>
    <row r="628" spans="1:9" ht="47.25">
      <c r="A628" s="40" t="s">
        <v>689</v>
      </c>
      <c r="B628" s="43" t="s">
        <v>797</v>
      </c>
      <c r="C628" s="43" t="s">
        <v>59</v>
      </c>
      <c r="D628" s="43" t="s">
        <v>69</v>
      </c>
      <c r="E628" s="43" t="s">
        <v>582</v>
      </c>
      <c r="F628" s="43"/>
      <c r="G628" s="45">
        <f t="shared" si="91"/>
        <v>100</v>
      </c>
      <c r="H628" s="45">
        <f t="shared" si="91"/>
        <v>100</v>
      </c>
      <c r="I628" s="45">
        <f t="shared" si="91"/>
        <v>100</v>
      </c>
    </row>
    <row r="629" spans="1:9" ht="31.5">
      <c r="A629" s="40" t="s">
        <v>95</v>
      </c>
      <c r="B629" s="43" t="s">
        <v>797</v>
      </c>
      <c r="C629" s="43" t="s">
        <v>59</v>
      </c>
      <c r="D629" s="43" t="s">
        <v>69</v>
      </c>
      <c r="E629" s="43" t="s">
        <v>581</v>
      </c>
      <c r="F629" s="43"/>
      <c r="G629" s="45">
        <f t="shared" si="91"/>
        <v>100</v>
      </c>
      <c r="H629" s="45">
        <f t="shared" si="91"/>
        <v>100</v>
      </c>
      <c r="I629" s="45">
        <f t="shared" si="91"/>
        <v>100</v>
      </c>
    </row>
    <row r="630" spans="1:9" ht="55.5" customHeight="1">
      <c r="A630" s="40" t="s">
        <v>20</v>
      </c>
      <c r="B630" s="43" t="s">
        <v>797</v>
      </c>
      <c r="C630" s="43" t="s">
        <v>59</v>
      </c>
      <c r="D630" s="43" t="s">
        <v>69</v>
      </c>
      <c r="E630" s="43" t="s">
        <v>581</v>
      </c>
      <c r="F630" s="43" t="s">
        <v>100</v>
      </c>
      <c r="G630" s="94">
        <v>100</v>
      </c>
      <c r="H630" s="94">
        <v>100</v>
      </c>
      <c r="I630" s="94">
        <v>100</v>
      </c>
    </row>
    <row r="631" spans="1:9" ht="94.5">
      <c r="A631" s="87" t="s">
        <v>698</v>
      </c>
      <c r="B631" s="43" t="s">
        <v>797</v>
      </c>
      <c r="C631" s="155" t="s">
        <v>59</v>
      </c>
      <c r="D631" s="155" t="s">
        <v>69</v>
      </c>
      <c r="E631" s="43" t="s">
        <v>675</v>
      </c>
      <c r="F631" s="43"/>
      <c r="G631" s="59">
        <f>G632</f>
        <v>110</v>
      </c>
      <c r="H631" s="59">
        <f aca="true" t="shared" si="92" ref="H631:I633">H632</f>
        <v>110</v>
      </c>
      <c r="I631" s="59">
        <f t="shared" si="92"/>
        <v>110</v>
      </c>
    </row>
    <row r="632" spans="1:9" ht="96.75" customHeight="1">
      <c r="A632" s="40" t="s">
        <v>699</v>
      </c>
      <c r="B632" s="43" t="s">
        <v>797</v>
      </c>
      <c r="C632" s="155" t="s">
        <v>59</v>
      </c>
      <c r="D632" s="155" t="s">
        <v>69</v>
      </c>
      <c r="E632" s="43" t="s">
        <v>676</v>
      </c>
      <c r="F632" s="43"/>
      <c r="G632" s="59">
        <f>G633</f>
        <v>110</v>
      </c>
      <c r="H632" s="59">
        <f t="shared" si="92"/>
        <v>110</v>
      </c>
      <c r="I632" s="59">
        <f t="shared" si="92"/>
        <v>110</v>
      </c>
    </row>
    <row r="633" spans="1:9" ht="63">
      <c r="A633" s="37" t="s">
        <v>700</v>
      </c>
      <c r="B633" s="43" t="s">
        <v>797</v>
      </c>
      <c r="C633" s="155" t="s">
        <v>59</v>
      </c>
      <c r="D633" s="155" t="s">
        <v>69</v>
      </c>
      <c r="E633" s="43" t="s">
        <v>677</v>
      </c>
      <c r="F633" s="43"/>
      <c r="G633" s="94">
        <f>G634</f>
        <v>110</v>
      </c>
      <c r="H633" s="94">
        <f t="shared" si="92"/>
        <v>110</v>
      </c>
      <c r="I633" s="94">
        <f t="shared" si="92"/>
        <v>110</v>
      </c>
    </row>
    <row r="634" spans="1:9" ht="47.25">
      <c r="A634" s="40" t="s">
        <v>20</v>
      </c>
      <c r="B634" s="43" t="s">
        <v>797</v>
      </c>
      <c r="C634" s="155" t="s">
        <v>59</v>
      </c>
      <c r="D634" s="155" t="s">
        <v>69</v>
      </c>
      <c r="E634" s="43" t="s">
        <v>677</v>
      </c>
      <c r="F634" s="43" t="s">
        <v>100</v>
      </c>
      <c r="G634" s="94">
        <v>110</v>
      </c>
      <c r="H634" s="94">
        <v>110</v>
      </c>
      <c r="I634" s="94">
        <v>110</v>
      </c>
    </row>
    <row r="635" spans="1:9" ht="15.75">
      <c r="A635" s="40" t="s">
        <v>118</v>
      </c>
      <c r="B635" s="43" t="s">
        <v>797</v>
      </c>
      <c r="C635" s="43" t="s">
        <v>59</v>
      </c>
      <c r="D635" s="43" t="s">
        <v>59</v>
      </c>
      <c r="E635" s="43"/>
      <c r="F635" s="43"/>
      <c r="G635" s="59">
        <f>G636+G640</f>
        <v>2816.5999999999995</v>
      </c>
      <c r="H635" s="45">
        <f>H636+H640</f>
        <v>2816.6</v>
      </c>
      <c r="I635" s="45">
        <f>I636+I640</f>
        <v>2816.6</v>
      </c>
    </row>
    <row r="636" spans="1:9" ht="63">
      <c r="A636" s="40" t="s">
        <v>713</v>
      </c>
      <c r="B636" s="43" t="s">
        <v>797</v>
      </c>
      <c r="C636" s="43" t="s">
        <v>59</v>
      </c>
      <c r="D636" s="43" t="s">
        <v>59</v>
      </c>
      <c r="E636" s="43" t="s">
        <v>374</v>
      </c>
      <c r="F636" s="43"/>
      <c r="G636" s="59">
        <f>G637</f>
        <v>68.6</v>
      </c>
      <c r="H636" s="59">
        <f>H637</f>
        <v>20.3</v>
      </c>
      <c r="I636" s="59">
        <f>I637</f>
        <v>20.3</v>
      </c>
    </row>
    <row r="637" spans="1:9" ht="78.75">
      <c r="A637" s="40" t="s">
        <v>198</v>
      </c>
      <c r="B637" s="43" t="s">
        <v>797</v>
      </c>
      <c r="C637" s="43" t="s">
        <v>59</v>
      </c>
      <c r="D637" s="43" t="s">
        <v>59</v>
      </c>
      <c r="E637" s="43" t="s">
        <v>307</v>
      </c>
      <c r="F637" s="43"/>
      <c r="G637" s="59">
        <f aca="true" t="shared" si="93" ref="G637:I638">G638</f>
        <v>68.6</v>
      </c>
      <c r="H637" s="59">
        <f t="shared" si="93"/>
        <v>20.3</v>
      </c>
      <c r="I637" s="59">
        <f t="shared" si="93"/>
        <v>20.3</v>
      </c>
    </row>
    <row r="638" spans="1:9" ht="15.75">
      <c r="A638" s="37" t="s">
        <v>150</v>
      </c>
      <c r="B638" s="43" t="s">
        <v>797</v>
      </c>
      <c r="C638" s="43" t="s">
        <v>59</v>
      </c>
      <c r="D638" s="43" t="s">
        <v>59</v>
      </c>
      <c r="E638" s="43" t="s">
        <v>426</v>
      </c>
      <c r="F638" s="43"/>
      <c r="G638" s="59">
        <f t="shared" si="93"/>
        <v>68.6</v>
      </c>
      <c r="H638" s="59">
        <f t="shared" si="93"/>
        <v>20.3</v>
      </c>
      <c r="I638" s="59">
        <f t="shared" si="93"/>
        <v>20.3</v>
      </c>
    </row>
    <row r="639" spans="1:9" ht="15.75">
      <c r="A639" s="40" t="s">
        <v>110</v>
      </c>
      <c r="B639" s="43" t="s">
        <v>797</v>
      </c>
      <c r="C639" s="43" t="s">
        <v>59</v>
      </c>
      <c r="D639" s="43" t="s">
        <v>59</v>
      </c>
      <c r="E639" s="43" t="s">
        <v>426</v>
      </c>
      <c r="F639" s="43" t="s">
        <v>111</v>
      </c>
      <c r="G639" s="59">
        <v>68.6</v>
      </c>
      <c r="H639" s="59">
        <v>20.3</v>
      </c>
      <c r="I639" s="59">
        <v>20.3</v>
      </c>
    </row>
    <row r="640" spans="1:9" ht="47.25">
      <c r="A640" s="37" t="s">
        <v>738</v>
      </c>
      <c r="B640" s="43" t="s">
        <v>797</v>
      </c>
      <c r="C640" s="43" t="s">
        <v>59</v>
      </c>
      <c r="D640" s="43" t="s">
        <v>59</v>
      </c>
      <c r="E640" s="43" t="s">
        <v>132</v>
      </c>
      <c r="F640" s="43"/>
      <c r="G640" s="59">
        <f>G641+G657</f>
        <v>2747.9999999999995</v>
      </c>
      <c r="H640" s="45">
        <f>H641+H657</f>
        <v>2796.2999999999997</v>
      </c>
      <c r="I640" s="45">
        <f>I641+I657</f>
        <v>2796.2999999999997</v>
      </c>
    </row>
    <row r="641" spans="1:9" ht="31.5">
      <c r="A641" s="37" t="s">
        <v>233</v>
      </c>
      <c r="B641" s="43" t="s">
        <v>797</v>
      </c>
      <c r="C641" s="43" t="s">
        <v>59</v>
      </c>
      <c r="D641" s="43" t="s">
        <v>59</v>
      </c>
      <c r="E641" s="43" t="s">
        <v>241</v>
      </c>
      <c r="F641" s="43"/>
      <c r="G641" s="59">
        <f>G642+G646+G653+G649</f>
        <v>193.2</v>
      </c>
      <c r="H641" s="59">
        <f>H642+H646+H653+H649</f>
        <v>193.2</v>
      </c>
      <c r="I641" s="59">
        <f>I642+I646+I653+I649</f>
        <v>193.2</v>
      </c>
    </row>
    <row r="642" spans="1:9" ht="63">
      <c r="A642" s="37" t="s">
        <v>234</v>
      </c>
      <c r="B642" s="43" t="s">
        <v>797</v>
      </c>
      <c r="C642" s="43" t="s">
        <v>59</v>
      </c>
      <c r="D642" s="43" t="s">
        <v>59</v>
      </c>
      <c r="E642" s="43" t="s">
        <v>242</v>
      </c>
      <c r="F642" s="43"/>
      <c r="G642" s="59">
        <f>G643</f>
        <v>65.7</v>
      </c>
      <c r="H642" s="45">
        <f>H643</f>
        <v>65.7</v>
      </c>
      <c r="I642" s="45">
        <f>I643</f>
        <v>65.7</v>
      </c>
    </row>
    <row r="643" spans="1:9" ht="31.5">
      <c r="A643" s="37" t="s">
        <v>231</v>
      </c>
      <c r="B643" s="43" t="s">
        <v>797</v>
      </c>
      <c r="C643" s="43" t="s">
        <v>59</v>
      </c>
      <c r="D643" s="43" t="s">
        <v>59</v>
      </c>
      <c r="E643" s="43" t="s">
        <v>251</v>
      </c>
      <c r="F643" s="43"/>
      <c r="G643" s="59">
        <f>G645+G644</f>
        <v>65.7</v>
      </c>
      <c r="H643" s="59">
        <f>H645+H644</f>
        <v>65.7</v>
      </c>
      <c r="I643" s="59">
        <f>I645+I644</f>
        <v>65.7</v>
      </c>
    </row>
    <row r="644" spans="1:9" ht="47.25">
      <c r="A644" s="37" t="s">
        <v>96</v>
      </c>
      <c r="B644" s="43" t="s">
        <v>797</v>
      </c>
      <c r="C644" s="43" t="s">
        <v>59</v>
      </c>
      <c r="D644" s="43" t="s">
        <v>59</v>
      </c>
      <c r="E644" s="43" t="s">
        <v>251</v>
      </c>
      <c r="F644" s="43" t="s">
        <v>97</v>
      </c>
      <c r="G644" s="45">
        <v>8</v>
      </c>
      <c r="H644" s="45">
        <v>8</v>
      </c>
      <c r="I644" s="45">
        <v>8</v>
      </c>
    </row>
    <row r="645" spans="1:9" ht="47.25">
      <c r="A645" s="40" t="s">
        <v>20</v>
      </c>
      <c r="B645" s="43" t="s">
        <v>797</v>
      </c>
      <c r="C645" s="43" t="s">
        <v>59</v>
      </c>
      <c r="D645" s="43" t="s">
        <v>59</v>
      </c>
      <c r="E645" s="43" t="s">
        <v>251</v>
      </c>
      <c r="F645" s="43" t="s">
        <v>100</v>
      </c>
      <c r="G645" s="45">
        <f>77.7-20</f>
        <v>57.7</v>
      </c>
      <c r="H645" s="45">
        <f>77.7-20</f>
        <v>57.7</v>
      </c>
      <c r="I645" s="45">
        <f>77.7-20</f>
        <v>57.7</v>
      </c>
    </row>
    <row r="646" spans="1:9" ht="94.5" hidden="1">
      <c r="A646" s="40" t="s">
        <v>235</v>
      </c>
      <c r="B646" s="43" t="s">
        <v>797</v>
      </c>
      <c r="C646" s="43" t="s">
        <v>59</v>
      </c>
      <c r="D646" s="43" t="s">
        <v>59</v>
      </c>
      <c r="E646" s="43" t="s">
        <v>243</v>
      </c>
      <c r="F646" s="43"/>
      <c r="G646" s="59">
        <f aca="true" t="shared" si="94" ref="G646:I647">G647</f>
        <v>0</v>
      </c>
      <c r="H646" s="45">
        <f t="shared" si="94"/>
        <v>0</v>
      </c>
      <c r="I646" s="45">
        <f t="shared" si="94"/>
        <v>0</v>
      </c>
    </row>
    <row r="647" spans="1:9" ht="31.5" hidden="1">
      <c r="A647" s="37" t="s">
        <v>231</v>
      </c>
      <c r="B647" s="43" t="s">
        <v>797</v>
      </c>
      <c r="C647" s="43" t="s">
        <v>59</v>
      </c>
      <c r="D647" s="43" t="s">
        <v>59</v>
      </c>
      <c r="E647" s="43" t="s">
        <v>252</v>
      </c>
      <c r="F647" s="43"/>
      <c r="G647" s="59">
        <f t="shared" si="94"/>
        <v>0</v>
      </c>
      <c r="H647" s="45">
        <f t="shared" si="94"/>
        <v>0</v>
      </c>
      <c r="I647" s="45">
        <f t="shared" si="94"/>
        <v>0</v>
      </c>
    </row>
    <row r="648" spans="1:9" ht="47.25" hidden="1">
      <c r="A648" s="40" t="s">
        <v>20</v>
      </c>
      <c r="B648" s="43" t="s">
        <v>797</v>
      </c>
      <c r="C648" s="43" t="s">
        <v>59</v>
      </c>
      <c r="D648" s="43" t="s">
        <v>59</v>
      </c>
      <c r="E648" s="43" t="s">
        <v>252</v>
      </c>
      <c r="F648" s="43" t="s">
        <v>100</v>
      </c>
      <c r="G648" s="59">
        <v>0</v>
      </c>
      <c r="H648" s="59">
        <v>0</v>
      </c>
      <c r="I648" s="59">
        <v>0</v>
      </c>
    </row>
    <row r="649" spans="1:9" ht="47.25">
      <c r="A649" s="40" t="s">
        <v>511</v>
      </c>
      <c r="B649" s="43" t="s">
        <v>797</v>
      </c>
      <c r="C649" s="43" t="s">
        <v>59</v>
      </c>
      <c r="D649" s="43" t="s">
        <v>59</v>
      </c>
      <c r="E649" s="43" t="s">
        <v>513</v>
      </c>
      <c r="F649" s="43"/>
      <c r="G649" s="59">
        <f>G650</f>
        <v>12</v>
      </c>
      <c r="H649" s="59">
        <f>H650</f>
        <v>12</v>
      </c>
      <c r="I649" s="59">
        <f>I650</f>
        <v>12</v>
      </c>
    </row>
    <row r="650" spans="1:9" ht="31.5">
      <c r="A650" s="40" t="s">
        <v>231</v>
      </c>
      <c r="B650" s="43" t="s">
        <v>797</v>
      </c>
      <c r="C650" s="43" t="s">
        <v>59</v>
      </c>
      <c r="D650" s="43" t="s">
        <v>59</v>
      </c>
      <c r="E650" s="43" t="s">
        <v>512</v>
      </c>
      <c r="F650" s="43"/>
      <c r="G650" s="59">
        <f>G652+G651</f>
        <v>12</v>
      </c>
      <c r="H650" s="59">
        <f>H652+H651</f>
        <v>12</v>
      </c>
      <c r="I650" s="59">
        <f>I652+I651</f>
        <v>12</v>
      </c>
    </row>
    <row r="651" spans="1:9" ht="47.25">
      <c r="A651" s="37" t="s">
        <v>96</v>
      </c>
      <c r="B651" s="43" t="s">
        <v>797</v>
      </c>
      <c r="C651" s="43" t="s">
        <v>59</v>
      </c>
      <c r="D651" s="43" t="s">
        <v>59</v>
      </c>
      <c r="E651" s="43" t="s">
        <v>512</v>
      </c>
      <c r="F651" s="43" t="s">
        <v>97</v>
      </c>
      <c r="G651" s="59">
        <v>12</v>
      </c>
      <c r="H651" s="59">
        <v>12</v>
      </c>
      <c r="I651" s="59">
        <v>12</v>
      </c>
    </row>
    <row r="652" spans="1:9" ht="47.25">
      <c r="A652" s="40" t="s">
        <v>20</v>
      </c>
      <c r="B652" s="43" t="s">
        <v>797</v>
      </c>
      <c r="C652" s="43" t="s">
        <v>59</v>
      </c>
      <c r="D652" s="43" t="s">
        <v>59</v>
      </c>
      <c r="E652" s="43" t="s">
        <v>512</v>
      </c>
      <c r="F652" s="43" t="s">
        <v>100</v>
      </c>
      <c r="G652" s="59">
        <v>0</v>
      </c>
      <c r="H652" s="59">
        <v>0</v>
      </c>
      <c r="I652" s="59">
        <v>0</v>
      </c>
    </row>
    <row r="653" spans="1:9" ht="63">
      <c r="A653" s="40" t="s">
        <v>236</v>
      </c>
      <c r="B653" s="43" t="s">
        <v>797</v>
      </c>
      <c r="C653" s="43" t="s">
        <v>59</v>
      </c>
      <c r="D653" s="43" t="s">
        <v>59</v>
      </c>
      <c r="E653" s="43" t="s">
        <v>244</v>
      </c>
      <c r="F653" s="43"/>
      <c r="G653" s="59">
        <f>G654</f>
        <v>115.5</v>
      </c>
      <c r="H653" s="45">
        <f>H654</f>
        <v>115.5</v>
      </c>
      <c r="I653" s="45">
        <f>I654</f>
        <v>115.5</v>
      </c>
    </row>
    <row r="654" spans="1:9" ht="31.5">
      <c r="A654" s="37" t="s">
        <v>231</v>
      </c>
      <c r="B654" s="43" t="s">
        <v>797</v>
      </c>
      <c r="C654" s="43" t="s">
        <v>59</v>
      </c>
      <c r="D654" s="43" t="s">
        <v>59</v>
      </c>
      <c r="E654" s="43" t="s">
        <v>253</v>
      </c>
      <c r="F654" s="43"/>
      <c r="G654" s="59">
        <f>G656+G655</f>
        <v>115.5</v>
      </c>
      <c r="H654" s="59">
        <f>H656+H655</f>
        <v>115.5</v>
      </c>
      <c r="I654" s="59">
        <f>I656+I655</f>
        <v>115.5</v>
      </c>
    </row>
    <row r="655" spans="1:9" ht="47.25">
      <c r="A655" s="37" t="s">
        <v>96</v>
      </c>
      <c r="B655" s="43" t="s">
        <v>797</v>
      </c>
      <c r="C655" s="43" t="s">
        <v>59</v>
      </c>
      <c r="D655" s="43" t="s">
        <v>59</v>
      </c>
      <c r="E655" s="43" t="s">
        <v>253</v>
      </c>
      <c r="F655" s="43" t="s">
        <v>97</v>
      </c>
      <c r="G655" s="45">
        <v>96.5</v>
      </c>
      <c r="H655" s="45">
        <v>48.5</v>
      </c>
      <c r="I655" s="45">
        <v>48.5</v>
      </c>
    </row>
    <row r="656" spans="1:9" ht="47.25">
      <c r="A656" s="40" t="s">
        <v>20</v>
      </c>
      <c r="B656" s="43" t="s">
        <v>797</v>
      </c>
      <c r="C656" s="43" t="s">
        <v>59</v>
      </c>
      <c r="D656" s="43" t="s">
        <v>59</v>
      </c>
      <c r="E656" s="43" t="s">
        <v>253</v>
      </c>
      <c r="F656" s="43" t="s">
        <v>100</v>
      </c>
      <c r="G656" s="45">
        <v>19</v>
      </c>
      <c r="H656" s="45">
        <f>97-30</f>
        <v>67</v>
      </c>
      <c r="I656" s="45">
        <f>97-30</f>
        <v>67</v>
      </c>
    </row>
    <row r="657" spans="1:9" ht="47.25">
      <c r="A657" s="124" t="s">
        <v>313</v>
      </c>
      <c r="B657" s="43" t="s">
        <v>797</v>
      </c>
      <c r="C657" s="43" t="s">
        <v>59</v>
      </c>
      <c r="D657" s="43" t="s">
        <v>59</v>
      </c>
      <c r="E657" s="43" t="s">
        <v>247</v>
      </c>
      <c r="F657" s="43"/>
      <c r="G657" s="59">
        <f aca="true" t="shared" si="95" ref="G657:I659">G658</f>
        <v>2554.7999999999997</v>
      </c>
      <c r="H657" s="45">
        <f t="shared" si="95"/>
        <v>2603.1</v>
      </c>
      <c r="I657" s="45">
        <f t="shared" si="95"/>
        <v>2603.1</v>
      </c>
    </row>
    <row r="658" spans="1:9" ht="63">
      <c r="A658" s="124" t="s">
        <v>240</v>
      </c>
      <c r="B658" s="43" t="s">
        <v>797</v>
      </c>
      <c r="C658" s="43" t="s">
        <v>59</v>
      </c>
      <c r="D658" s="43" t="s">
        <v>59</v>
      </c>
      <c r="E658" s="43" t="s">
        <v>248</v>
      </c>
      <c r="F658" s="43"/>
      <c r="G658" s="59">
        <f>G659+G661</f>
        <v>2554.7999999999997</v>
      </c>
      <c r="H658" s="59">
        <f>H659+H661</f>
        <v>2603.1</v>
      </c>
      <c r="I658" s="59">
        <f>I659+I661</f>
        <v>2603.1</v>
      </c>
    </row>
    <row r="659" spans="1:9" ht="15.75">
      <c r="A659" s="124" t="s">
        <v>250</v>
      </c>
      <c r="B659" s="43" t="s">
        <v>797</v>
      </c>
      <c r="C659" s="43" t="s">
        <v>59</v>
      </c>
      <c r="D659" s="43" t="s">
        <v>59</v>
      </c>
      <c r="E659" s="43" t="s">
        <v>249</v>
      </c>
      <c r="F659" s="43"/>
      <c r="G659" s="59">
        <f t="shared" si="95"/>
        <v>1925.8999999999999</v>
      </c>
      <c r="H659" s="45">
        <f t="shared" si="95"/>
        <v>1964.6999999999998</v>
      </c>
      <c r="I659" s="45">
        <f t="shared" si="95"/>
        <v>1954.8999999999999</v>
      </c>
    </row>
    <row r="660" spans="1:9" ht="15.75">
      <c r="A660" s="40" t="s">
        <v>110</v>
      </c>
      <c r="B660" s="43" t="s">
        <v>797</v>
      </c>
      <c r="C660" s="43" t="s">
        <v>59</v>
      </c>
      <c r="D660" s="43" t="s">
        <v>59</v>
      </c>
      <c r="E660" s="43" t="s">
        <v>249</v>
      </c>
      <c r="F660" s="43" t="s">
        <v>111</v>
      </c>
      <c r="G660" s="45">
        <v>1925.8999999999999</v>
      </c>
      <c r="H660" s="45">
        <f>2603.1-638.4</f>
        <v>1964.6999999999998</v>
      </c>
      <c r="I660" s="45">
        <f>2603.1-648.2</f>
        <v>1954.8999999999999</v>
      </c>
    </row>
    <row r="661" spans="1:9" ht="63">
      <c r="A661" s="40" t="s">
        <v>462</v>
      </c>
      <c r="B661" s="43" t="s">
        <v>797</v>
      </c>
      <c r="C661" s="43" t="s">
        <v>59</v>
      </c>
      <c r="D661" s="43" t="s">
        <v>59</v>
      </c>
      <c r="E661" s="43" t="s">
        <v>465</v>
      </c>
      <c r="F661" s="43"/>
      <c r="G661" s="59">
        <f>G662</f>
        <v>628.9</v>
      </c>
      <c r="H661" s="59">
        <f>H662</f>
        <v>638.4</v>
      </c>
      <c r="I661" s="59">
        <f>I662</f>
        <v>648.2</v>
      </c>
    </row>
    <row r="662" spans="1:9" ht="15.75">
      <c r="A662" s="40" t="s">
        <v>110</v>
      </c>
      <c r="B662" s="43" t="s">
        <v>797</v>
      </c>
      <c r="C662" s="43" t="s">
        <v>59</v>
      </c>
      <c r="D662" s="43" t="s">
        <v>59</v>
      </c>
      <c r="E662" s="43" t="s">
        <v>465</v>
      </c>
      <c r="F662" s="43" t="s">
        <v>111</v>
      </c>
      <c r="G662" s="94">
        <v>628.9</v>
      </c>
      <c r="H662" s="94">
        <v>638.4</v>
      </c>
      <c r="I662" s="94">
        <v>648.2</v>
      </c>
    </row>
    <row r="663" spans="1:9" ht="15.75">
      <c r="A663" s="40" t="s">
        <v>79</v>
      </c>
      <c r="B663" s="43" t="s">
        <v>797</v>
      </c>
      <c r="C663" s="43" t="s">
        <v>59</v>
      </c>
      <c r="D663" s="43" t="s">
        <v>65</v>
      </c>
      <c r="E663" s="43"/>
      <c r="F663" s="43"/>
      <c r="G663" s="94">
        <f aca="true" t="shared" si="96" ref="G663:I664">G664</f>
        <v>154</v>
      </c>
      <c r="H663" s="94">
        <f t="shared" si="96"/>
        <v>154</v>
      </c>
      <c r="I663" s="94">
        <f t="shared" si="96"/>
        <v>154</v>
      </c>
    </row>
    <row r="664" spans="1:9" ht="63">
      <c r="A664" s="40" t="s">
        <v>713</v>
      </c>
      <c r="B664" s="43" t="s">
        <v>797</v>
      </c>
      <c r="C664" s="43" t="s">
        <v>59</v>
      </c>
      <c r="D664" s="43" t="s">
        <v>65</v>
      </c>
      <c r="E664" s="43" t="s">
        <v>374</v>
      </c>
      <c r="F664" s="43"/>
      <c r="G664" s="59">
        <f t="shared" si="96"/>
        <v>154</v>
      </c>
      <c r="H664" s="59">
        <f t="shared" si="96"/>
        <v>154</v>
      </c>
      <c r="I664" s="59">
        <f t="shared" si="96"/>
        <v>154</v>
      </c>
    </row>
    <row r="665" spans="1:9" ht="63">
      <c r="A665" s="40" t="s">
        <v>298</v>
      </c>
      <c r="B665" s="43" t="s">
        <v>797</v>
      </c>
      <c r="C665" s="43" t="s">
        <v>59</v>
      </c>
      <c r="D665" s="43" t="s">
        <v>65</v>
      </c>
      <c r="E665" s="43" t="s">
        <v>299</v>
      </c>
      <c r="F665" s="43"/>
      <c r="G665" s="59">
        <f>G666+G668</f>
        <v>154</v>
      </c>
      <c r="H665" s="59">
        <f>H666+H668</f>
        <v>154</v>
      </c>
      <c r="I665" s="59">
        <f>I666+I668</f>
        <v>154</v>
      </c>
    </row>
    <row r="666" spans="1:9" ht="31.5">
      <c r="A666" s="40" t="s">
        <v>113</v>
      </c>
      <c r="B666" s="43" t="s">
        <v>797</v>
      </c>
      <c r="C666" s="43" t="s">
        <v>59</v>
      </c>
      <c r="D666" s="43" t="s">
        <v>65</v>
      </c>
      <c r="E666" s="43" t="s">
        <v>300</v>
      </c>
      <c r="F666" s="43"/>
      <c r="G666" s="59">
        <f>G667</f>
        <v>30</v>
      </c>
      <c r="H666" s="45">
        <f>H667</f>
        <v>30</v>
      </c>
      <c r="I666" s="45">
        <f>I667</f>
        <v>30</v>
      </c>
    </row>
    <row r="667" spans="1:9" ht="15.75">
      <c r="A667" s="40" t="s">
        <v>110</v>
      </c>
      <c r="B667" s="43" t="s">
        <v>797</v>
      </c>
      <c r="C667" s="43" t="s">
        <v>59</v>
      </c>
      <c r="D667" s="43" t="s">
        <v>65</v>
      </c>
      <c r="E667" s="43" t="s">
        <v>300</v>
      </c>
      <c r="F667" s="43" t="s">
        <v>111</v>
      </c>
      <c r="G667" s="59">
        <v>30</v>
      </c>
      <c r="H667" s="59">
        <v>30</v>
      </c>
      <c r="I667" s="59">
        <v>30</v>
      </c>
    </row>
    <row r="668" spans="1:9" ht="15.75">
      <c r="A668" s="37" t="s">
        <v>150</v>
      </c>
      <c r="B668" s="43" t="s">
        <v>797</v>
      </c>
      <c r="C668" s="43" t="s">
        <v>59</v>
      </c>
      <c r="D668" s="43" t="s">
        <v>65</v>
      </c>
      <c r="E668" s="43" t="s">
        <v>303</v>
      </c>
      <c r="F668" s="43"/>
      <c r="G668" s="59">
        <f>G669</f>
        <v>124</v>
      </c>
      <c r="H668" s="45">
        <f>H669</f>
        <v>124</v>
      </c>
      <c r="I668" s="45">
        <f>I669</f>
        <v>124</v>
      </c>
    </row>
    <row r="669" spans="1:9" ht="15.75">
      <c r="A669" s="40" t="s">
        <v>110</v>
      </c>
      <c r="B669" s="43" t="s">
        <v>797</v>
      </c>
      <c r="C669" s="43" t="s">
        <v>59</v>
      </c>
      <c r="D669" s="43" t="s">
        <v>65</v>
      </c>
      <c r="E669" s="43" t="s">
        <v>303</v>
      </c>
      <c r="F669" s="43" t="s">
        <v>111</v>
      </c>
      <c r="G669" s="59">
        <v>124</v>
      </c>
      <c r="H669" s="59">
        <v>124</v>
      </c>
      <c r="I669" s="59">
        <v>124</v>
      </c>
    </row>
    <row r="670" spans="1:9" ht="15.75">
      <c r="A670" s="40" t="s">
        <v>360</v>
      </c>
      <c r="B670" s="43" t="s">
        <v>797</v>
      </c>
      <c r="C670" s="43" t="s">
        <v>81</v>
      </c>
      <c r="D670" s="43"/>
      <c r="E670" s="43"/>
      <c r="F670" s="43"/>
      <c r="G670" s="59">
        <f>G671+G736</f>
        <v>85017.5</v>
      </c>
      <c r="H670" s="59">
        <f>H671+H736</f>
        <v>59972.100000000006</v>
      </c>
      <c r="I670" s="59">
        <f>I671+I736</f>
        <v>60090.7</v>
      </c>
    </row>
    <row r="671" spans="1:9" ht="15.75">
      <c r="A671" s="40" t="s">
        <v>361</v>
      </c>
      <c r="B671" s="43" t="s">
        <v>797</v>
      </c>
      <c r="C671" s="43" t="s">
        <v>81</v>
      </c>
      <c r="D671" s="43" t="s">
        <v>51</v>
      </c>
      <c r="E671" s="43"/>
      <c r="F671" s="43"/>
      <c r="G671" s="59">
        <f>G672+G732</f>
        <v>85017.5</v>
      </c>
      <c r="H671" s="59">
        <f>H672+H732</f>
        <v>59972.100000000006</v>
      </c>
      <c r="I671" s="59">
        <f>I672+I732</f>
        <v>60090.7</v>
      </c>
    </row>
    <row r="672" spans="1:9" ht="78.75">
      <c r="A672" s="40" t="s">
        <v>724</v>
      </c>
      <c r="B672" s="43" t="s">
        <v>797</v>
      </c>
      <c r="C672" s="43" t="s">
        <v>81</v>
      </c>
      <c r="D672" s="43" t="s">
        <v>51</v>
      </c>
      <c r="E672" s="43" t="s">
        <v>174</v>
      </c>
      <c r="F672" s="43"/>
      <c r="G672" s="59">
        <f>G673+G682+G701+G710</f>
        <v>85017.5</v>
      </c>
      <c r="H672" s="59">
        <f>H673+H682+H701+H710</f>
        <v>59972.100000000006</v>
      </c>
      <c r="I672" s="59">
        <f>I673+I682+I701+I710</f>
        <v>60090.7</v>
      </c>
    </row>
    <row r="673" spans="1:9" ht="31.5">
      <c r="A673" s="40" t="s">
        <v>362</v>
      </c>
      <c r="B673" s="43" t="s">
        <v>797</v>
      </c>
      <c r="C673" s="43" t="s">
        <v>81</v>
      </c>
      <c r="D673" s="43" t="s">
        <v>51</v>
      </c>
      <c r="E673" s="43" t="s">
        <v>178</v>
      </c>
      <c r="F673" s="43"/>
      <c r="G673" s="59">
        <f>G674+G679</f>
        <v>7097.999999999999</v>
      </c>
      <c r="H673" s="45">
        <f aca="true" t="shared" si="97" ref="G673:I675">H674</f>
        <v>2917.5</v>
      </c>
      <c r="I673" s="45">
        <f t="shared" si="97"/>
        <v>3036.1</v>
      </c>
    </row>
    <row r="674" spans="1:9" ht="47.25">
      <c r="A674" s="40" t="s">
        <v>177</v>
      </c>
      <c r="B674" s="43" t="s">
        <v>797</v>
      </c>
      <c r="C674" s="43" t="s">
        <v>81</v>
      </c>
      <c r="D674" s="43" t="s">
        <v>51</v>
      </c>
      <c r="E674" s="43" t="s">
        <v>179</v>
      </c>
      <c r="F674" s="43"/>
      <c r="G674" s="59">
        <f>G675+G677</f>
        <v>2758.2</v>
      </c>
      <c r="H674" s="59">
        <f>H675+H677</f>
        <v>2917.5</v>
      </c>
      <c r="I674" s="59">
        <f>I675+I677</f>
        <v>3036.1</v>
      </c>
    </row>
    <row r="675" spans="1:9" ht="15.75">
      <c r="A675" s="40" t="s">
        <v>363</v>
      </c>
      <c r="B675" s="43" t="s">
        <v>797</v>
      </c>
      <c r="C675" s="43" t="s">
        <v>81</v>
      </c>
      <c r="D675" s="43" t="s">
        <v>51</v>
      </c>
      <c r="E675" s="43" t="s">
        <v>180</v>
      </c>
      <c r="F675" s="43"/>
      <c r="G675" s="59">
        <f t="shared" si="97"/>
        <v>1816.3999999999999</v>
      </c>
      <c r="H675" s="45">
        <f t="shared" si="97"/>
        <v>1859.8</v>
      </c>
      <c r="I675" s="45">
        <f t="shared" si="97"/>
        <v>1859.8</v>
      </c>
    </row>
    <row r="676" spans="1:9" ht="15.75">
      <c r="A676" s="40" t="s">
        <v>110</v>
      </c>
      <c r="B676" s="43" t="s">
        <v>797</v>
      </c>
      <c r="C676" s="43" t="s">
        <v>81</v>
      </c>
      <c r="D676" s="43" t="s">
        <v>51</v>
      </c>
      <c r="E676" s="43" t="s">
        <v>180</v>
      </c>
      <c r="F676" s="43" t="s">
        <v>111</v>
      </c>
      <c r="G676" s="45">
        <f>1859.8-43.4</f>
        <v>1816.3999999999999</v>
      </c>
      <c r="H676" s="45">
        <f>1859.8</f>
        <v>1859.8</v>
      </c>
      <c r="I676" s="45">
        <v>1859.8</v>
      </c>
    </row>
    <row r="677" spans="1:9" ht="63">
      <c r="A677" s="40" t="s">
        <v>462</v>
      </c>
      <c r="B677" s="43" t="s">
        <v>797</v>
      </c>
      <c r="C677" s="43" t="s">
        <v>81</v>
      </c>
      <c r="D677" s="43" t="s">
        <v>51</v>
      </c>
      <c r="E677" s="43" t="s">
        <v>466</v>
      </c>
      <c r="F677" s="43"/>
      <c r="G677" s="59">
        <f>G678</f>
        <v>941.8</v>
      </c>
      <c r="H677" s="59">
        <f>H678</f>
        <v>1057.7</v>
      </c>
      <c r="I677" s="59">
        <f>I678</f>
        <v>1176.3</v>
      </c>
    </row>
    <row r="678" spans="1:9" ht="15.75">
      <c r="A678" s="40" t="s">
        <v>110</v>
      </c>
      <c r="B678" s="43" t="s">
        <v>797</v>
      </c>
      <c r="C678" s="43" t="s">
        <v>81</v>
      </c>
      <c r="D678" s="43" t="s">
        <v>51</v>
      </c>
      <c r="E678" s="43" t="s">
        <v>466</v>
      </c>
      <c r="F678" s="43" t="s">
        <v>111</v>
      </c>
      <c r="G678" s="59">
        <v>941.8</v>
      </c>
      <c r="H678" s="94">
        <v>1057.7</v>
      </c>
      <c r="I678" s="94">
        <v>1176.3</v>
      </c>
    </row>
    <row r="679" spans="1:9" ht="47.25">
      <c r="A679" s="40" t="s">
        <v>444</v>
      </c>
      <c r="B679" s="43" t="s">
        <v>797</v>
      </c>
      <c r="C679" s="43" t="s">
        <v>81</v>
      </c>
      <c r="D679" s="43" t="s">
        <v>51</v>
      </c>
      <c r="E679" s="43" t="s">
        <v>961</v>
      </c>
      <c r="F679" s="43"/>
      <c r="G679" s="59">
        <f>G680</f>
        <v>4339.799999999999</v>
      </c>
      <c r="H679" s="94"/>
      <c r="I679" s="94"/>
    </row>
    <row r="680" spans="1:9" ht="31.5">
      <c r="A680" s="40" t="s">
        <v>962</v>
      </c>
      <c r="B680" s="43" t="s">
        <v>797</v>
      </c>
      <c r="C680" s="43" t="s">
        <v>81</v>
      </c>
      <c r="D680" s="43" t="s">
        <v>51</v>
      </c>
      <c r="E680" s="43" t="s">
        <v>963</v>
      </c>
      <c r="F680" s="43"/>
      <c r="G680" s="59">
        <f>G681</f>
        <v>4339.799999999999</v>
      </c>
      <c r="H680" s="94"/>
      <c r="I680" s="94"/>
    </row>
    <row r="681" spans="1:9" ht="15.75">
      <c r="A681" s="40" t="s">
        <v>110</v>
      </c>
      <c r="B681" s="43" t="s">
        <v>797</v>
      </c>
      <c r="C681" s="43" t="s">
        <v>81</v>
      </c>
      <c r="D681" s="43" t="s">
        <v>51</v>
      </c>
      <c r="E681" s="43" t="s">
        <v>963</v>
      </c>
      <c r="F681" s="43" t="s">
        <v>111</v>
      </c>
      <c r="G681" s="59">
        <f>4296.4+43.4</f>
        <v>4339.799999999999</v>
      </c>
      <c r="H681" s="94"/>
      <c r="I681" s="94"/>
    </row>
    <row r="682" spans="1:9" ht="32.25" customHeight="1">
      <c r="A682" s="40" t="s">
        <v>182</v>
      </c>
      <c r="B682" s="43" t="s">
        <v>797</v>
      </c>
      <c r="C682" s="43" t="s">
        <v>81</v>
      </c>
      <c r="D682" s="43" t="s">
        <v>51</v>
      </c>
      <c r="E682" s="43" t="s">
        <v>6</v>
      </c>
      <c r="F682" s="43"/>
      <c r="G682" s="59">
        <f>G683+G688+G693+G698</f>
        <v>23229.2</v>
      </c>
      <c r="H682" s="59">
        <f>H683+H688+H693</f>
        <v>19280.2</v>
      </c>
      <c r="I682" s="59">
        <f>I683+I688+I693</f>
        <v>19280.2</v>
      </c>
    </row>
    <row r="683" spans="1:9" ht="47.25">
      <c r="A683" s="40" t="s">
        <v>181</v>
      </c>
      <c r="B683" s="43" t="s">
        <v>797</v>
      </c>
      <c r="C683" s="43" t="s">
        <v>81</v>
      </c>
      <c r="D683" s="43" t="s">
        <v>51</v>
      </c>
      <c r="E683" s="43" t="s">
        <v>7</v>
      </c>
      <c r="F683" s="43"/>
      <c r="G683" s="59">
        <f>G684+G686</f>
        <v>18863.3</v>
      </c>
      <c r="H683" s="59">
        <f>H684+H686</f>
        <v>18902.2</v>
      </c>
      <c r="I683" s="59">
        <f>I684+I686</f>
        <v>18902.2</v>
      </c>
    </row>
    <row r="684" spans="1:9" ht="15.75">
      <c r="A684" s="40" t="s">
        <v>183</v>
      </c>
      <c r="B684" s="43" t="s">
        <v>797</v>
      </c>
      <c r="C684" s="43" t="s">
        <v>81</v>
      </c>
      <c r="D684" s="43" t="s">
        <v>51</v>
      </c>
      <c r="E684" s="43" t="s">
        <v>8</v>
      </c>
      <c r="F684" s="43"/>
      <c r="G684" s="59">
        <f>G685</f>
        <v>13086.6</v>
      </c>
      <c r="H684" s="45">
        <f>H685</f>
        <v>12391.900000000001</v>
      </c>
      <c r="I684" s="45">
        <f>I685</f>
        <v>11641.2</v>
      </c>
    </row>
    <row r="685" spans="1:9" ht="15.75">
      <c r="A685" s="40" t="s">
        <v>110</v>
      </c>
      <c r="B685" s="43" t="s">
        <v>797</v>
      </c>
      <c r="C685" s="43" t="s">
        <v>81</v>
      </c>
      <c r="D685" s="43" t="s">
        <v>51</v>
      </c>
      <c r="E685" s="43" t="s">
        <v>8</v>
      </c>
      <c r="F685" s="43" t="s">
        <v>111</v>
      </c>
      <c r="G685" s="94">
        <f>18940-5776.7-13.9-37.8-25</f>
        <v>13086.6</v>
      </c>
      <c r="H685" s="45">
        <f>18940-6510.3-37.8</f>
        <v>12391.900000000001</v>
      </c>
      <c r="I685" s="45">
        <f>18940-7261-37.8</f>
        <v>11641.2</v>
      </c>
    </row>
    <row r="686" spans="1:9" ht="63">
      <c r="A686" s="40" t="s">
        <v>462</v>
      </c>
      <c r="B686" s="43" t="s">
        <v>797</v>
      </c>
      <c r="C686" s="43" t="s">
        <v>81</v>
      </c>
      <c r="D686" s="43" t="s">
        <v>51</v>
      </c>
      <c r="E686" s="43" t="s">
        <v>467</v>
      </c>
      <c r="F686" s="43"/>
      <c r="G686" s="59">
        <f>G687</f>
        <v>5776.7</v>
      </c>
      <c r="H686" s="59">
        <f>H687</f>
        <v>6510.3</v>
      </c>
      <c r="I686" s="59">
        <f>I687</f>
        <v>7261</v>
      </c>
    </row>
    <row r="687" spans="1:9" ht="15.75">
      <c r="A687" s="40" t="s">
        <v>110</v>
      </c>
      <c r="B687" s="43" t="s">
        <v>797</v>
      </c>
      <c r="C687" s="43" t="s">
        <v>81</v>
      </c>
      <c r="D687" s="43" t="s">
        <v>51</v>
      </c>
      <c r="E687" s="43" t="s">
        <v>467</v>
      </c>
      <c r="F687" s="43" t="s">
        <v>111</v>
      </c>
      <c r="G687" s="59">
        <v>5776.7</v>
      </c>
      <c r="H687" s="94">
        <v>6510.3</v>
      </c>
      <c r="I687" s="94">
        <v>7261</v>
      </c>
    </row>
    <row r="688" spans="1:9" ht="31.5">
      <c r="A688" s="40" t="s">
        <v>725</v>
      </c>
      <c r="B688" s="43" t="s">
        <v>797</v>
      </c>
      <c r="C688" s="43" t="s">
        <v>81</v>
      </c>
      <c r="D688" s="43" t="s">
        <v>51</v>
      </c>
      <c r="E688" s="43" t="s">
        <v>170</v>
      </c>
      <c r="F688" s="43"/>
      <c r="G688" s="59">
        <f>G691+G689</f>
        <v>378</v>
      </c>
      <c r="H688" s="59">
        <f>H691+H689</f>
        <v>378</v>
      </c>
      <c r="I688" s="59">
        <f>I691+I689</f>
        <v>378</v>
      </c>
    </row>
    <row r="689" spans="1:9" ht="78.75" hidden="1">
      <c r="A689" s="40" t="s">
        <v>557</v>
      </c>
      <c r="B689" s="43" t="s">
        <v>797</v>
      </c>
      <c r="C689" s="43" t="s">
        <v>81</v>
      </c>
      <c r="D689" s="43" t="s">
        <v>51</v>
      </c>
      <c r="E689" s="43" t="s">
        <v>558</v>
      </c>
      <c r="F689" s="43"/>
      <c r="G689" s="59">
        <f>G690</f>
        <v>0</v>
      </c>
      <c r="H689" s="59">
        <f>H690</f>
        <v>0</v>
      </c>
      <c r="I689" s="59">
        <f>I690</f>
        <v>0</v>
      </c>
    </row>
    <row r="690" spans="1:9" ht="15.75" hidden="1">
      <c r="A690" s="40" t="s">
        <v>110</v>
      </c>
      <c r="B690" s="43" t="s">
        <v>797</v>
      </c>
      <c r="C690" s="43" t="s">
        <v>81</v>
      </c>
      <c r="D690" s="43" t="s">
        <v>51</v>
      </c>
      <c r="E690" s="43" t="s">
        <v>558</v>
      </c>
      <c r="F690" s="43" t="s">
        <v>111</v>
      </c>
      <c r="G690" s="59">
        <v>0</v>
      </c>
      <c r="H690" s="59">
        <v>0</v>
      </c>
      <c r="I690" s="59">
        <v>0</v>
      </c>
    </row>
    <row r="691" spans="1:9" ht="36" customHeight="1">
      <c r="A691" s="40" t="s">
        <v>1015</v>
      </c>
      <c r="B691" s="43" t="s">
        <v>797</v>
      </c>
      <c r="C691" s="43" t="s">
        <v>81</v>
      </c>
      <c r="D691" s="43" t="s">
        <v>51</v>
      </c>
      <c r="E691" s="43" t="s">
        <v>729</v>
      </c>
      <c r="F691" s="43"/>
      <c r="G691" s="59">
        <f>G692</f>
        <v>378</v>
      </c>
      <c r="H691" s="59">
        <f>H692</f>
        <v>378</v>
      </c>
      <c r="I691" s="59">
        <f>I692</f>
        <v>378</v>
      </c>
    </row>
    <row r="692" spans="1:9" ht="15.75">
      <c r="A692" s="40" t="s">
        <v>110</v>
      </c>
      <c r="B692" s="43" t="s">
        <v>797</v>
      </c>
      <c r="C692" s="43" t="s">
        <v>81</v>
      </c>
      <c r="D692" s="43" t="s">
        <v>51</v>
      </c>
      <c r="E692" s="43" t="s">
        <v>729</v>
      </c>
      <c r="F692" s="43" t="s">
        <v>111</v>
      </c>
      <c r="G692" s="59">
        <v>378</v>
      </c>
      <c r="H692" s="59">
        <v>378</v>
      </c>
      <c r="I692" s="59">
        <v>378</v>
      </c>
    </row>
    <row r="693" spans="1:9" ht="63">
      <c r="A693" s="40" t="s">
        <v>450</v>
      </c>
      <c r="B693" s="43" t="s">
        <v>797</v>
      </c>
      <c r="C693" s="43" t="s">
        <v>81</v>
      </c>
      <c r="D693" s="43" t="s">
        <v>51</v>
      </c>
      <c r="E693" s="43" t="s">
        <v>726</v>
      </c>
      <c r="F693" s="43"/>
      <c r="G693" s="145">
        <f>G696+G694</f>
        <v>3883.7000000000003</v>
      </c>
      <c r="H693" s="145">
        <f>H696</f>
        <v>0</v>
      </c>
      <c r="I693" s="145">
        <f>I696</f>
        <v>0</v>
      </c>
    </row>
    <row r="694" spans="1:9" ht="31.5">
      <c r="A694" s="40" t="s">
        <v>733</v>
      </c>
      <c r="B694" s="43" t="s">
        <v>797</v>
      </c>
      <c r="C694" s="43" t="s">
        <v>81</v>
      </c>
      <c r="D694" s="43" t="s">
        <v>51</v>
      </c>
      <c r="E694" s="43" t="s">
        <v>732</v>
      </c>
      <c r="F694" s="43"/>
      <c r="G694" s="145">
        <f>G695</f>
        <v>2497.3</v>
      </c>
      <c r="H694" s="145"/>
      <c r="I694" s="145"/>
    </row>
    <row r="695" spans="1:9" ht="15.75">
      <c r="A695" s="40" t="s">
        <v>110</v>
      </c>
      <c r="B695" s="43" t="s">
        <v>797</v>
      </c>
      <c r="C695" s="43" t="s">
        <v>81</v>
      </c>
      <c r="D695" s="43" t="s">
        <v>51</v>
      </c>
      <c r="E695" s="43" t="s">
        <v>732</v>
      </c>
      <c r="F695" s="43" t="s">
        <v>111</v>
      </c>
      <c r="G695" s="145">
        <f>2472.3+25</f>
        <v>2497.3</v>
      </c>
      <c r="H695" s="145"/>
      <c r="I695" s="145"/>
    </row>
    <row r="696" spans="1:9" ht="63">
      <c r="A696" s="40" t="s">
        <v>731</v>
      </c>
      <c r="B696" s="43" t="s">
        <v>797</v>
      </c>
      <c r="C696" s="43" t="s">
        <v>81</v>
      </c>
      <c r="D696" s="43" t="s">
        <v>51</v>
      </c>
      <c r="E696" s="43" t="s">
        <v>730</v>
      </c>
      <c r="F696" s="43"/>
      <c r="G696" s="145">
        <f>G697</f>
        <v>1386.4</v>
      </c>
      <c r="H696" s="145">
        <f>H697</f>
        <v>0</v>
      </c>
      <c r="I696" s="145">
        <f>I697</f>
        <v>0</v>
      </c>
    </row>
    <row r="697" spans="1:9" ht="15.75">
      <c r="A697" s="40" t="s">
        <v>110</v>
      </c>
      <c r="B697" s="43" t="s">
        <v>797</v>
      </c>
      <c r="C697" s="43" t="s">
        <v>81</v>
      </c>
      <c r="D697" s="43" t="s">
        <v>51</v>
      </c>
      <c r="E697" s="43" t="s">
        <v>730</v>
      </c>
      <c r="F697" s="43" t="s">
        <v>111</v>
      </c>
      <c r="G697" s="145">
        <f>1372.5+13.9</f>
        <v>1386.4</v>
      </c>
      <c r="H697" s="145">
        <v>0</v>
      </c>
      <c r="I697" s="145">
        <v>0</v>
      </c>
    </row>
    <row r="698" spans="1:9" ht="47.25">
      <c r="A698" s="40" t="s">
        <v>575</v>
      </c>
      <c r="B698" s="43" t="s">
        <v>797</v>
      </c>
      <c r="C698" s="43" t="s">
        <v>81</v>
      </c>
      <c r="D698" s="43" t="s">
        <v>51</v>
      </c>
      <c r="E698" s="43" t="s">
        <v>576</v>
      </c>
      <c r="F698" s="43"/>
      <c r="G698" s="59">
        <f>G699</f>
        <v>104.2</v>
      </c>
      <c r="H698" s="45"/>
      <c r="I698" s="45"/>
    </row>
    <row r="699" spans="1:9" ht="63">
      <c r="A699" s="40" t="s">
        <v>574</v>
      </c>
      <c r="B699" s="43" t="s">
        <v>797</v>
      </c>
      <c r="C699" s="43" t="s">
        <v>81</v>
      </c>
      <c r="D699" s="43" t="s">
        <v>51</v>
      </c>
      <c r="E699" s="43" t="s">
        <v>577</v>
      </c>
      <c r="F699" s="43"/>
      <c r="G699" s="59">
        <f>G700</f>
        <v>104.2</v>
      </c>
      <c r="H699" s="45"/>
      <c r="I699" s="45"/>
    </row>
    <row r="700" spans="1:9" ht="15.75">
      <c r="A700" s="40" t="s">
        <v>110</v>
      </c>
      <c r="B700" s="43" t="s">
        <v>797</v>
      </c>
      <c r="C700" s="43" t="s">
        <v>81</v>
      </c>
      <c r="D700" s="43" t="s">
        <v>51</v>
      </c>
      <c r="E700" s="43" t="s">
        <v>577</v>
      </c>
      <c r="F700" s="43" t="s">
        <v>111</v>
      </c>
      <c r="G700" s="59">
        <v>104.2</v>
      </c>
      <c r="H700" s="45"/>
      <c r="I700" s="45"/>
    </row>
    <row r="701" spans="1:9" ht="31.5">
      <c r="A701" s="40" t="s">
        <v>184</v>
      </c>
      <c r="B701" s="43" t="s">
        <v>797</v>
      </c>
      <c r="C701" s="43" t="s">
        <v>81</v>
      </c>
      <c r="D701" s="43" t="s">
        <v>51</v>
      </c>
      <c r="E701" s="43" t="s">
        <v>10</v>
      </c>
      <c r="F701" s="43"/>
      <c r="G701" s="59">
        <f>G702+G707</f>
        <v>13129.3</v>
      </c>
      <c r="H701" s="59">
        <f>H702</f>
        <v>7960</v>
      </c>
      <c r="I701" s="59">
        <f>I702</f>
        <v>7960</v>
      </c>
    </row>
    <row r="702" spans="1:9" ht="63">
      <c r="A702" s="40" t="s">
        <v>9</v>
      </c>
      <c r="B702" s="43" t="s">
        <v>797</v>
      </c>
      <c r="C702" s="43" t="s">
        <v>81</v>
      </c>
      <c r="D702" s="43" t="s">
        <v>51</v>
      </c>
      <c r="E702" s="43" t="s">
        <v>11</v>
      </c>
      <c r="F702" s="43"/>
      <c r="G702" s="59">
        <f>G703+G705</f>
        <v>7907.8</v>
      </c>
      <c r="H702" s="59">
        <f>H703+H705</f>
        <v>7960</v>
      </c>
      <c r="I702" s="59">
        <f>I703+I705</f>
        <v>7960</v>
      </c>
    </row>
    <row r="703" spans="1:9" ht="31.5">
      <c r="A703" s="40" t="s">
        <v>185</v>
      </c>
      <c r="B703" s="43" t="s">
        <v>797</v>
      </c>
      <c r="C703" s="43" t="s">
        <v>81</v>
      </c>
      <c r="D703" s="43" t="s">
        <v>51</v>
      </c>
      <c r="E703" s="43" t="s">
        <v>12</v>
      </c>
      <c r="F703" s="43"/>
      <c r="G703" s="59">
        <f>G704</f>
        <v>5383</v>
      </c>
      <c r="H703" s="45">
        <f>H704</f>
        <v>5145.4</v>
      </c>
      <c r="I703" s="45">
        <f>I704</f>
        <v>4848.9</v>
      </c>
    </row>
    <row r="704" spans="1:9" ht="15.75">
      <c r="A704" s="40" t="s">
        <v>110</v>
      </c>
      <c r="B704" s="43" t="s">
        <v>797</v>
      </c>
      <c r="C704" s="43" t="s">
        <v>81</v>
      </c>
      <c r="D704" s="43" t="s">
        <v>51</v>
      </c>
      <c r="E704" s="43" t="s">
        <v>12</v>
      </c>
      <c r="F704" s="43" t="s">
        <v>111</v>
      </c>
      <c r="G704" s="45">
        <f>7960-2524.8-52.2</f>
        <v>5383</v>
      </c>
      <c r="H704" s="45">
        <f>7960-2814.6</f>
        <v>5145.4</v>
      </c>
      <c r="I704" s="45">
        <f>7960-3111.1</f>
        <v>4848.9</v>
      </c>
    </row>
    <row r="705" spans="1:9" ht="63">
      <c r="A705" s="40" t="s">
        <v>462</v>
      </c>
      <c r="B705" s="43" t="s">
        <v>797</v>
      </c>
      <c r="C705" s="43" t="s">
        <v>81</v>
      </c>
      <c r="D705" s="43" t="s">
        <v>51</v>
      </c>
      <c r="E705" s="43" t="s">
        <v>468</v>
      </c>
      <c r="F705" s="43"/>
      <c r="G705" s="59">
        <f>G706</f>
        <v>2524.8</v>
      </c>
      <c r="H705" s="59">
        <f>H706</f>
        <v>2814.6</v>
      </c>
      <c r="I705" s="59">
        <f>I706</f>
        <v>3111.1</v>
      </c>
    </row>
    <row r="706" spans="1:9" ht="15.75">
      <c r="A706" s="40" t="s">
        <v>110</v>
      </c>
      <c r="B706" s="43" t="s">
        <v>797</v>
      </c>
      <c r="C706" s="43" t="s">
        <v>81</v>
      </c>
      <c r="D706" s="43" t="s">
        <v>51</v>
      </c>
      <c r="E706" s="43" t="s">
        <v>468</v>
      </c>
      <c r="F706" s="43" t="s">
        <v>111</v>
      </c>
      <c r="G706" s="59">
        <v>2524.8</v>
      </c>
      <c r="H706" s="94">
        <v>2814.6</v>
      </c>
      <c r="I706" s="94">
        <v>3111.1</v>
      </c>
    </row>
    <row r="707" spans="1:9" ht="31.5">
      <c r="A707" s="40" t="s">
        <v>490</v>
      </c>
      <c r="B707" s="43" t="s">
        <v>797</v>
      </c>
      <c r="C707" s="43" t="s">
        <v>81</v>
      </c>
      <c r="D707" s="43" t="s">
        <v>51</v>
      </c>
      <c r="E707" s="43" t="s">
        <v>491</v>
      </c>
      <c r="F707" s="74"/>
      <c r="G707" s="94">
        <f>G708</f>
        <v>5221.5</v>
      </c>
      <c r="H707" s="45"/>
      <c r="I707" s="45"/>
    </row>
    <row r="708" spans="1:9" ht="31.5">
      <c r="A708" s="40" t="s">
        <v>733</v>
      </c>
      <c r="B708" s="43" t="s">
        <v>797</v>
      </c>
      <c r="C708" s="43" t="s">
        <v>81</v>
      </c>
      <c r="D708" s="43" t="s">
        <v>51</v>
      </c>
      <c r="E708" s="43" t="s">
        <v>734</v>
      </c>
      <c r="F708" s="74"/>
      <c r="G708" s="94">
        <f>G709</f>
        <v>5221.5</v>
      </c>
      <c r="H708" s="45"/>
      <c r="I708" s="45"/>
    </row>
    <row r="709" spans="1:9" ht="15.75">
      <c r="A709" s="40" t="s">
        <v>110</v>
      </c>
      <c r="B709" s="43" t="s">
        <v>797</v>
      </c>
      <c r="C709" s="43" t="s">
        <v>81</v>
      </c>
      <c r="D709" s="43" t="s">
        <v>51</v>
      </c>
      <c r="E709" s="43" t="s">
        <v>734</v>
      </c>
      <c r="F709" s="74" t="s">
        <v>111</v>
      </c>
      <c r="G709" s="94">
        <f>5169.3+52.2</f>
        <v>5221.5</v>
      </c>
      <c r="H709" s="45"/>
      <c r="I709" s="45"/>
    </row>
    <row r="710" spans="1:9" ht="31.5">
      <c r="A710" s="40" t="s">
        <v>186</v>
      </c>
      <c r="B710" s="43" t="s">
        <v>797</v>
      </c>
      <c r="C710" s="43" t="s">
        <v>81</v>
      </c>
      <c r="D710" s="43" t="s">
        <v>51</v>
      </c>
      <c r="E710" s="43" t="s">
        <v>13</v>
      </c>
      <c r="F710" s="43"/>
      <c r="G710" s="59">
        <f>G711+G727+G716</f>
        <v>41561</v>
      </c>
      <c r="H710" s="59">
        <f>H711+H727</f>
        <v>29814.4</v>
      </c>
      <c r="I710" s="59">
        <f>I711+I727</f>
        <v>29814.4</v>
      </c>
    </row>
    <row r="711" spans="1:9" ht="63">
      <c r="A711" s="40" t="s">
        <v>148</v>
      </c>
      <c r="B711" s="43" t="s">
        <v>797</v>
      </c>
      <c r="C711" s="43" t="s">
        <v>81</v>
      </c>
      <c r="D711" s="43" t="s">
        <v>51</v>
      </c>
      <c r="E711" s="43" t="s">
        <v>493</v>
      </c>
      <c r="F711" s="43"/>
      <c r="G711" s="59">
        <f>G712+G714</f>
        <v>29753</v>
      </c>
      <c r="H711" s="59">
        <f>H712+H714</f>
        <v>29814.4</v>
      </c>
      <c r="I711" s="59">
        <f>I712+I714</f>
        <v>29814.4</v>
      </c>
    </row>
    <row r="712" spans="1:9" ht="31.5">
      <c r="A712" s="40" t="s">
        <v>185</v>
      </c>
      <c r="B712" s="43" t="s">
        <v>797</v>
      </c>
      <c r="C712" s="43" t="s">
        <v>81</v>
      </c>
      <c r="D712" s="43" t="s">
        <v>51</v>
      </c>
      <c r="E712" s="43" t="s">
        <v>15</v>
      </c>
      <c r="F712" s="43"/>
      <c r="G712" s="59">
        <f>G713</f>
        <v>20927.5</v>
      </c>
      <c r="H712" s="45">
        <f>H713</f>
        <v>19971</v>
      </c>
      <c r="I712" s="45">
        <f>I713</f>
        <v>18929.4</v>
      </c>
    </row>
    <row r="713" spans="1:9" ht="19.5" customHeight="1">
      <c r="A713" s="40" t="s">
        <v>110</v>
      </c>
      <c r="B713" s="43" t="s">
        <v>797</v>
      </c>
      <c r="C713" s="43" t="s">
        <v>81</v>
      </c>
      <c r="D713" s="43" t="s">
        <v>51</v>
      </c>
      <c r="E713" s="43" t="s">
        <v>15</v>
      </c>
      <c r="F713" s="43" t="s">
        <v>111</v>
      </c>
      <c r="G713" s="45">
        <v>20927.5</v>
      </c>
      <c r="H713" s="45">
        <f>29814.4-9843.4</f>
        <v>19971</v>
      </c>
      <c r="I713" s="45">
        <f>29814.4-10885</f>
        <v>18929.4</v>
      </c>
    </row>
    <row r="714" spans="1:9" ht="63">
      <c r="A714" s="40" t="s">
        <v>462</v>
      </c>
      <c r="B714" s="43" t="s">
        <v>797</v>
      </c>
      <c r="C714" s="43" t="s">
        <v>81</v>
      </c>
      <c r="D714" s="43" t="s">
        <v>51</v>
      </c>
      <c r="E714" s="43" t="s">
        <v>469</v>
      </c>
      <c r="F714" s="43"/>
      <c r="G714" s="59">
        <f>G715</f>
        <v>8825.5</v>
      </c>
      <c r="H714" s="59">
        <f>H715</f>
        <v>9843.400000000001</v>
      </c>
      <c r="I714" s="59">
        <f>I715</f>
        <v>10885</v>
      </c>
    </row>
    <row r="715" spans="1:9" ht="15.75">
      <c r="A715" s="40" t="s">
        <v>110</v>
      </c>
      <c r="B715" s="43" t="s">
        <v>797</v>
      </c>
      <c r="C715" s="43" t="s">
        <v>81</v>
      </c>
      <c r="D715" s="43" t="s">
        <v>51</v>
      </c>
      <c r="E715" s="43" t="s">
        <v>469</v>
      </c>
      <c r="F715" s="43" t="s">
        <v>111</v>
      </c>
      <c r="G715" s="59">
        <f>6931.1+784.1+1110.3</f>
        <v>8825.5</v>
      </c>
      <c r="H715" s="94">
        <f>7789.7+854.5+1199.2</f>
        <v>9843.400000000001</v>
      </c>
      <c r="I715" s="94">
        <f>8668.3+926.5+1290.2</f>
        <v>10885</v>
      </c>
    </row>
    <row r="716" spans="1:9" ht="47.25">
      <c r="A716" s="40" t="s">
        <v>573</v>
      </c>
      <c r="B716" s="43" t="s">
        <v>797</v>
      </c>
      <c r="C716" s="43" t="s">
        <v>81</v>
      </c>
      <c r="D716" s="43" t="s">
        <v>51</v>
      </c>
      <c r="E716" s="43" t="s">
        <v>727</v>
      </c>
      <c r="F716" s="43"/>
      <c r="G716" s="59">
        <f>G717+G721+G719+G723+G725</f>
        <v>4868.499999999999</v>
      </c>
      <c r="H716" s="59"/>
      <c r="I716" s="59"/>
    </row>
    <row r="717" spans="1:9" ht="63" hidden="1">
      <c r="A717" s="40" t="s">
        <v>572</v>
      </c>
      <c r="B717" s="43" t="s">
        <v>797</v>
      </c>
      <c r="C717" s="43" t="s">
        <v>81</v>
      </c>
      <c r="D717" s="43" t="s">
        <v>51</v>
      </c>
      <c r="E717" s="43" t="s">
        <v>728</v>
      </c>
      <c r="F717" s="43"/>
      <c r="G717" s="59">
        <f>G718</f>
        <v>0</v>
      </c>
      <c r="H717" s="59"/>
      <c r="I717" s="59"/>
    </row>
    <row r="718" spans="1:9" ht="15.75" hidden="1">
      <c r="A718" s="40" t="s">
        <v>110</v>
      </c>
      <c r="B718" s="43" t="s">
        <v>797</v>
      </c>
      <c r="C718" s="43" t="s">
        <v>81</v>
      </c>
      <c r="D718" s="43" t="s">
        <v>51</v>
      </c>
      <c r="E718" s="43" t="s">
        <v>728</v>
      </c>
      <c r="F718" s="43" t="s">
        <v>111</v>
      </c>
      <c r="G718" s="59">
        <v>0</v>
      </c>
      <c r="H718" s="59"/>
      <c r="I718" s="59"/>
    </row>
    <row r="719" spans="1:9" ht="31.5">
      <c r="A719" s="40" t="s">
        <v>733</v>
      </c>
      <c r="B719" s="43" t="s">
        <v>797</v>
      </c>
      <c r="C719" s="43" t="s">
        <v>81</v>
      </c>
      <c r="D719" s="43" t="s">
        <v>51</v>
      </c>
      <c r="E719" s="43" t="s">
        <v>736</v>
      </c>
      <c r="F719" s="43"/>
      <c r="G719" s="59">
        <f>G720</f>
        <v>1718.7</v>
      </c>
      <c r="H719" s="59"/>
      <c r="I719" s="59"/>
    </row>
    <row r="720" spans="1:9" ht="15.75">
      <c r="A720" s="40" t="s">
        <v>110</v>
      </c>
      <c r="B720" s="43" t="s">
        <v>797</v>
      </c>
      <c r="C720" s="43" t="s">
        <v>81</v>
      </c>
      <c r="D720" s="43" t="s">
        <v>51</v>
      </c>
      <c r="E720" s="43" t="s">
        <v>736</v>
      </c>
      <c r="F720" s="43" t="s">
        <v>111</v>
      </c>
      <c r="G720" s="59">
        <f>1701.5+17.2</f>
        <v>1718.7</v>
      </c>
      <c r="H720" s="59"/>
      <c r="I720" s="59"/>
    </row>
    <row r="721" spans="1:9" ht="63">
      <c r="A721" s="40" t="s">
        <v>731</v>
      </c>
      <c r="B721" s="43" t="s">
        <v>797</v>
      </c>
      <c r="C721" s="43" t="s">
        <v>81</v>
      </c>
      <c r="D721" s="43" t="s">
        <v>51</v>
      </c>
      <c r="E721" s="43" t="s">
        <v>735</v>
      </c>
      <c r="F721" s="43"/>
      <c r="G721" s="59">
        <f>G722</f>
        <v>2271.8999999999996</v>
      </c>
      <c r="H721" s="59">
        <f>H722</f>
        <v>0</v>
      </c>
      <c r="I721" s="59">
        <f>I722</f>
        <v>0</v>
      </c>
    </row>
    <row r="722" spans="1:9" ht="15.75">
      <c r="A722" s="40" t="s">
        <v>110</v>
      </c>
      <c r="B722" s="43" t="s">
        <v>797</v>
      </c>
      <c r="C722" s="43" t="s">
        <v>81</v>
      </c>
      <c r="D722" s="43" t="s">
        <v>51</v>
      </c>
      <c r="E722" s="43" t="s">
        <v>735</v>
      </c>
      <c r="F722" s="43" t="s">
        <v>111</v>
      </c>
      <c r="G722" s="59">
        <f>2249.2+22.7</f>
        <v>2271.8999999999996</v>
      </c>
      <c r="H722" s="45">
        <v>0</v>
      </c>
      <c r="I722" s="45">
        <v>0</v>
      </c>
    </row>
    <row r="723" spans="1:9" ht="31.5">
      <c r="A723" s="40" t="s">
        <v>421</v>
      </c>
      <c r="B723" s="43" t="s">
        <v>797</v>
      </c>
      <c r="C723" s="43" t="s">
        <v>81</v>
      </c>
      <c r="D723" s="43" t="s">
        <v>51</v>
      </c>
      <c r="E723" s="43" t="s">
        <v>833</v>
      </c>
      <c r="F723" s="74"/>
      <c r="G723" s="59">
        <f>G724</f>
        <v>787.4</v>
      </c>
      <c r="H723" s="45"/>
      <c r="I723" s="45"/>
    </row>
    <row r="724" spans="1:9" ht="15.75">
      <c r="A724" s="40" t="s">
        <v>110</v>
      </c>
      <c r="B724" s="43" t="s">
        <v>797</v>
      </c>
      <c r="C724" s="43" t="s">
        <v>81</v>
      </c>
      <c r="D724" s="43" t="s">
        <v>51</v>
      </c>
      <c r="E724" s="43" t="s">
        <v>833</v>
      </c>
      <c r="F724" s="74" t="s">
        <v>111</v>
      </c>
      <c r="G724" s="59">
        <v>787.4</v>
      </c>
      <c r="H724" s="45"/>
      <c r="I724" s="45"/>
    </row>
    <row r="725" spans="1:9" ht="63">
      <c r="A725" s="40" t="s">
        <v>422</v>
      </c>
      <c r="B725" s="43" t="s">
        <v>797</v>
      </c>
      <c r="C725" s="43" t="s">
        <v>81</v>
      </c>
      <c r="D725" s="43" t="s">
        <v>51</v>
      </c>
      <c r="E725" s="43" t="s">
        <v>834</v>
      </c>
      <c r="F725" s="74"/>
      <c r="G725" s="59">
        <f>G726</f>
        <v>90.5</v>
      </c>
      <c r="H725" s="45"/>
      <c r="I725" s="45"/>
    </row>
    <row r="726" spans="1:9" ht="15.75">
      <c r="A726" s="40" t="s">
        <v>110</v>
      </c>
      <c r="B726" s="43" t="s">
        <v>797</v>
      </c>
      <c r="C726" s="43" t="s">
        <v>81</v>
      </c>
      <c r="D726" s="43" t="s">
        <v>51</v>
      </c>
      <c r="E726" s="43" t="s">
        <v>834</v>
      </c>
      <c r="F726" s="74" t="s">
        <v>111</v>
      </c>
      <c r="G726" s="59">
        <v>90.5</v>
      </c>
      <c r="H726" s="45"/>
      <c r="I726" s="45"/>
    </row>
    <row r="727" spans="1:9" ht="47.25">
      <c r="A727" s="40" t="s">
        <v>444</v>
      </c>
      <c r="B727" s="43" t="s">
        <v>797</v>
      </c>
      <c r="C727" s="43" t="s">
        <v>81</v>
      </c>
      <c r="D727" s="43" t="s">
        <v>51</v>
      </c>
      <c r="E727" s="43" t="s">
        <v>429</v>
      </c>
      <c r="F727" s="43"/>
      <c r="G727" s="59">
        <f>G730+G728</f>
        <v>6939.5</v>
      </c>
      <c r="H727" s="59">
        <f>H730</f>
        <v>0</v>
      </c>
      <c r="I727" s="59">
        <f>I730</f>
        <v>0</v>
      </c>
    </row>
    <row r="728" spans="1:9" ht="31.5">
      <c r="A728" s="40" t="s">
        <v>1026</v>
      </c>
      <c r="B728" s="43" t="s">
        <v>797</v>
      </c>
      <c r="C728" s="43" t="s">
        <v>81</v>
      </c>
      <c r="D728" s="43" t="s">
        <v>51</v>
      </c>
      <c r="E728" s="43" t="s">
        <v>1028</v>
      </c>
      <c r="F728" s="43"/>
      <c r="G728" s="59">
        <f>G729</f>
        <v>1649.5</v>
      </c>
      <c r="H728" s="94"/>
      <c r="I728" s="94"/>
    </row>
    <row r="729" spans="1:9" ht="15.75">
      <c r="A729" s="40" t="s">
        <v>110</v>
      </c>
      <c r="B729" s="43" t="s">
        <v>797</v>
      </c>
      <c r="C729" s="43" t="s">
        <v>81</v>
      </c>
      <c r="D729" s="43" t="s">
        <v>51</v>
      </c>
      <c r="E729" s="43" t="s">
        <v>1028</v>
      </c>
      <c r="F729" s="43" t="s">
        <v>111</v>
      </c>
      <c r="G729" s="59">
        <f>70+1580.1-0.6</f>
        <v>1649.5</v>
      </c>
      <c r="H729" s="94"/>
      <c r="I729" s="94"/>
    </row>
    <row r="730" spans="1:9" ht="267.75">
      <c r="A730" s="40" t="s">
        <v>1031</v>
      </c>
      <c r="B730" s="43" t="s">
        <v>797</v>
      </c>
      <c r="C730" s="43" t="s">
        <v>81</v>
      </c>
      <c r="D730" s="43" t="s">
        <v>51</v>
      </c>
      <c r="E730" s="43" t="s">
        <v>1027</v>
      </c>
      <c r="F730" s="43"/>
      <c r="G730" s="59">
        <f>G731</f>
        <v>5290</v>
      </c>
      <c r="H730" s="94"/>
      <c r="I730" s="94"/>
    </row>
    <row r="731" spans="1:9" ht="15.75">
      <c r="A731" s="40" t="s">
        <v>110</v>
      </c>
      <c r="B731" s="43" t="s">
        <v>797</v>
      </c>
      <c r="C731" s="43" t="s">
        <v>81</v>
      </c>
      <c r="D731" s="43" t="s">
        <v>51</v>
      </c>
      <c r="E731" s="43" t="s">
        <v>1027</v>
      </c>
      <c r="F731" s="43" t="s">
        <v>111</v>
      </c>
      <c r="G731" s="59">
        <v>5290</v>
      </c>
      <c r="H731" s="94"/>
      <c r="I731" s="94"/>
    </row>
    <row r="732" spans="1:9" ht="78.75" hidden="1">
      <c r="A732" s="40" t="s">
        <v>478</v>
      </c>
      <c r="B732" s="43" t="s">
        <v>797</v>
      </c>
      <c r="C732" s="43" t="s">
        <v>81</v>
      </c>
      <c r="D732" s="43" t="s">
        <v>51</v>
      </c>
      <c r="E732" s="43" t="s">
        <v>480</v>
      </c>
      <c r="F732" s="43"/>
      <c r="G732" s="94">
        <f>G733</f>
        <v>0</v>
      </c>
      <c r="H732" s="94">
        <f aca="true" t="shared" si="98" ref="H732:I734">H733</f>
        <v>0</v>
      </c>
      <c r="I732" s="94">
        <f t="shared" si="98"/>
        <v>0</v>
      </c>
    </row>
    <row r="733" spans="1:9" ht="63" hidden="1">
      <c r="A733" s="40" t="s">
        <v>479</v>
      </c>
      <c r="B733" s="43" t="s">
        <v>797</v>
      </c>
      <c r="C733" s="43" t="s">
        <v>81</v>
      </c>
      <c r="D733" s="43" t="s">
        <v>51</v>
      </c>
      <c r="E733" s="43" t="s">
        <v>481</v>
      </c>
      <c r="F733" s="43"/>
      <c r="G733" s="59">
        <f>G734</f>
        <v>0</v>
      </c>
      <c r="H733" s="59">
        <f t="shared" si="98"/>
        <v>0</v>
      </c>
      <c r="I733" s="59">
        <f t="shared" si="98"/>
        <v>0</v>
      </c>
    </row>
    <row r="734" spans="1:9" ht="31.5" hidden="1">
      <c r="A734" s="40" t="s">
        <v>185</v>
      </c>
      <c r="B734" s="43" t="s">
        <v>797</v>
      </c>
      <c r="C734" s="43" t="s">
        <v>81</v>
      </c>
      <c r="D734" s="43" t="s">
        <v>51</v>
      </c>
      <c r="E734" s="43" t="s">
        <v>534</v>
      </c>
      <c r="F734" s="43"/>
      <c r="G734" s="59">
        <f>G735</f>
        <v>0</v>
      </c>
      <c r="H734" s="59">
        <f t="shared" si="98"/>
        <v>0</v>
      </c>
      <c r="I734" s="59">
        <f t="shared" si="98"/>
        <v>0</v>
      </c>
    </row>
    <row r="735" spans="1:9" ht="15.75" hidden="1">
      <c r="A735" s="40" t="s">
        <v>110</v>
      </c>
      <c r="B735" s="43" t="s">
        <v>797</v>
      </c>
      <c r="C735" s="43" t="s">
        <v>81</v>
      </c>
      <c r="D735" s="43" t="s">
        <v>51</v>
      </c>
      <c r="E735" s="43" t="s">
        <v>534</v>
      </c>
      <c r="F735" s="43" t="s">
        <v>111</v>
      </c>
      <c r="G735" s="59">
        <v>0</v>
      </c>
      <c r="H735" s="59">
        <v>0</v>
      </c>
      <c r="I735" s="59">
        <v>0</v>
      </c>
    </row>
    <row r="736" spans="1:9" ht="31.5" hidden="1">
      <c r="A736" s="40" t="s">
        <v>522</v>
      </c>
      <c r="B736" s="43" t="s">
        <v>797</v>
      </c>
      <c r="C736" s="43" t="s">
        <v>81</v>
      </c>
      <c r="D736" s="43" t="s">
        <v>56</v>
      </c>
      <c r="E736" s="43"/>
      <c r="F736" s="43"/>
      <c r="G736" s="59">
        <f>G737</f>
        <v>0</v>
      </c>
      <c r="H736" s="59">
        <f>H737</f>
        <v>0</v>
      </c>
      <c r="I736" s="59">
        <f>I737</f>
        <v>0</v>
      </c>
    </row>
    <row r="737" spans="1:9" ht="63" hidden="1">
      <c r="A737" s="40" t="s">
        <v>771</v>
      </c>
      <c r="B737" s="43" t="s">
        <v>797</v>
      </c>
      <c r="C737" s="43" t="s">
        <v>81</v>
      </c>
      <c r="D737" s="43" t="s">
        <v>56</v>
      </c>
      <c r="E737" s="43" t="s">
        <v>521</v>
      </c>
      <c r="F737" s="74"/>
      <c r="G737" s="94">
        <f>G738</f>
        <v>0</v>
      </c>
      <c r="H737" s="94">
        <f aca="true" t="shared" si="99" ref="H737:I739">H738</f>
        <v>0</v>
      </c>
      <c r="I737" s="94">
        <f t="shared" si="99"/>
        <v>0</v>
      </c>
    </row>
    <row r="738" spans="1:9" ht="94.5" hidden="1">
      <c r="A738" s="40" t="s">
        <v>525</v>
      </c>
      <c r="B738" s="43" t="s">
        <v>797</v>
      </c>
      <c r="C738" s="43" t="s">
        <v>81</v>
      </c>
      <c r="D738" s="43" t="s">
        <v>56</v>
      </c>
      <c r="E738" s="43" t="s">
        <v>523</v>
      </c>
      <c r="F738" s="74"/>
      <c r="G738" s="94">
        <f>G739</f>
        <v>0</v>
      </c>
      <c r="H738" s="94">
        <f t="shared" si="99"/>
        <v>0</v>
      </c>
      <c r="I738" s="94">
        <f t="shared" si="99"/>
        <v>0</v>
      </c>
    </row>
    <row r="739" spans="1:9" ht="31.5" hidden="1">
      <c r="A739" s="40" t="s">
        <v>393</v>
      </c>
      <c r="B739" s="43" t="s">
        <v>797</v>
      </c>
      <c r="C739" s="43" t="s">
        <v>81</v>
      </c>
      <c r="D739" s="43" t="s">
        <v>56</v>
      </c>
      <c r="E739" s="43" t="s">
        <v>524</v>
      </c>
      <c r="F739" s="74"/>
      <c r="G739" s="94">
        <f>G740</f>
        <v>0</v>
      </c>
      <c r="H739" s="94">
        <f t="shared" si="99"/>
        <v>0</v>
      </c>
      <c r="I739" s="94">
        <f t="shared" si="99"/>
        <v>0</v>
      </c>
    </row>
    <row r="740" spans="1:9" ht="15.75" hidden="1">
      <c r="A740" s="125" t="s">
        <v>110</v>
      </c>
      <c r="B740" s="43" t="s">
        <v>797</v>
      </c>
      <c r="C740" s="43" t="s">
        <v>81</v>
      </c>
      <c r="D740" s="43" t="s">
        <v>56</v>
      </c>
      <c r="E740" s="43" t="s">
        <v>524</v>
      </c>
      <c r="F740" s="74" t="s">
        <v>111</v>
      </c>
      <c r="G740" s="94">
        <v>0</v>
      </c>
      <c r="H740" s="94">
        <v>0</v>
      </c>
      <c r="I740" s="94">
        <v>0</v>
      </c>
    </row>
    <row r="741" spans="1:9" ht="15.75">
      <c r="A741" s="40" t="s">
        <v>83</v>
      </c>
      <c r="B741" s="43" t="s">
        <v>797</v>
      </c>
      <c r="C741" s="43" t="s">
        <v>65</v>
      </c>
      <c r="D741" s="43" t="s">
        <v>56</v>
      </c>
      <c r="E741" s="43"/>
      <c r="F741" s="43"/>
      <c r="G741" s="59">
        <f aca="true" t="shared" si="100" ref="G741:I745">G742</f>
        <v>148.8</v>
      </c>
      <c r="H741" s="45">
        <f t="shared" si="100"/>
        <v>132.3</v>
      </c>
      <c r="I741" s="45">
        <f t="shared" si="100"/>
        <v>132.3</v>
      </c>
    </row>
    <row r="742" spans="1:9" ht="31.5">
      <c r="A742" s="124" t="s">
        <v>84</v>
      </c>
      <c r="B742" s="43" t="s">
        <v>797</v>
      </c>
      <c r="C742" s="43" t="s">
        <v>65</v>
      </c>
      <c r="D742" s="43" t="s">
        <v>59</v>
      </c>
      <c r="E742" s="43"/>
      <c r="F742" s="43"/>
      <c r="G742" s="59">
        <f t="shared" si="100"/>
        <v>148.8</v>
      </c>
      <c r="H742" s="45">
        <f t="shared" si="100"/>
        <v>132.3</v>
      </c>
      <c r="I742" s="45">
        <f t="shared" si="100"/>
        <v>132.3</v>
      </c>
    </row>
    <row r="743" spans="1:9" ht="63">
      <c r="A743" s="40" t="s">
        <v>836</v>
      </c>
      <c r="B743" s="43" t="s">
        <v>797</v>
      </c>
      <c r="C743" s="43" t="s">
        <v>65</v>
      </c>
      <c r="D743" s="43" t="s">
        <v>59</v>
      </c>
      <c r="E743" s="43" t="s">
        <v>139</v>
      </c>
      <c r="F743" s="43"/>
      <c r="G743" s="59">
        <f>G744</f>
        <v>148.8</v>
      </c>
      <c r="H743" s="45">
        <f t="shared" si="100"/>
        <v>132.3</v>
      </c>
      <c r="I743" s="45">
        <f t="shared" si="100"/>
        <v>132.3</v>
      </c>
    </row>
    <row r="744" spans="1:9" ht="133.5" customHeight="1">
      <c r="A744" s="40" t="s">
        <v>837</v>
      </c>
      <c r="B744" s="43" t="s">
        <v>797</v>
      </c>
      <c r="C744" s="43" t="s">
        <v>65</v>
      </c>
      <c r="D744" s="43" t="s">
        <v>59</v>
      </c>
      <c r="E744" s="44" t="s">
        <v>277</v>
      </c>
      <c r="F744" s="44"/>
      <c r="G744" s="59">
        <f>G745</f>
        <v>148.8</v>
      </c>
      <c r="H744" s="45">
        <f t="shared" si="100"/>
        <v>132.3</v>
      </c>
      <c r="I744" s="45">
        <f t="shared" si="100"/>
        <v>132.3</v>
      </c>
    </row>
    <row r="745" spans="1:9" ht="173.25">
      <c r="A745" s="172" t="s">
        <v>425</v>
      </c>
      <c r="B745" s="43" t="s">
        <v>797</v>
      </c>
      <c r="C745" s="43" t="s">
        <v>65</v>
      </c>
      <c r="D745" s="43" t="s">
        <v>59</v>
      </c>
      <c r="E745" s="44" t="s">
        <v>278</v>
      </c>
      <c r="F745" s="44"/>
      <c r="G745" s="59">
        <f>G746</f>
        <v>148.8</v>
      </c>
      <c r="H745" s="45">
        <f t="shared" si="100"/>
        <v>132.3</v>
      </c>
      <c r="I745" s="45">
        <f t="shared" si="100"/>
        <v>132.3</v>
      </c>
    </row>
    <row r="746" spans="1:9" ht="47.25">
      <c r="A746" s="40" t="s">
        <v>20</v>
      </c>
      <c r="B746" s="43" t="s">
        <v>797</v>
      </c>
      <c r="C746" s="43" t="s">
        <v>65</v>
      </c>
      <c r="D746" s="43" t="s">
        <v>59</v>
      </c>
      <c r="E746" s="44" t="s">
        <v>278</v>
      </c>
      <c r="F746" s="44" t="s">
        <v>100</v>
      </c>
      <c r="G746" s="59">
        <v>148.8</v>
      </c>
      <c r="H746" s="59">
        <v>132.3</v>
      </c>
      <c r="I746" s="59">
        <v>132.3</v>
      </c>
    </row>
    <row r="747" spans="1:9" ht="15.75">
      <c r="A747" s="40" t="s">
        <v>187</v>
      </c>
      <c r="B747" s="43" t="s">
        <v>797</v>
      </c>
      <c r="C747" s="43" t="s">
        <v>86</v>
      </c>
      <c r="D747" s="43"/>
      <c r="E747" s="43"/>
      <c r="F747" s="43"/>
      <c r="G747" s="59">
        <f>G748+G754</f>
        <v>11382.2</v>
      </c>
      <c r="H747" s="45">
        <f>H748+H754</f>
        <v>13572.199999999999</v>
      </c>
      <c r="I747" s="45">
        <f>I748+I754</f>
        <v>7896.7</v>
      </c>
    </row>
    <row r="748" spans="1:9" ht="15.75">
      <c r="A748" s="40" t="s">
        <v>87</v>
      </c>
      <c r="B748" s="43" t="s">
        <v>797</v>
      </c>
      <c r="C748" s="43" t="s">
        <v>86</v>
      </c>
      <c r="D748" s="43" t="s">
        <v>51</v>
      </c>
      <c r="E748" s="43"/>
      <c r="F748" s="43"/>
      <c r="G748" s="59">
        <f aca="true" t="shared" si="101" ref="G748:I750">G749</f>
        <v>3500</v>
      </c>
      <c r="H748" s="45">
        <f t="shared" si="101"/>
        <v>3500</v>
      </c>
      <c r="I748" s="45">
        <f t="shared" si="101"/>
        <v>3500</v>
      </c>
    </row>
    <row r="749" spans="1:9" ht="63">
      <c r="A749" s="40" t="s">
        <v>713</v>
      </c>
      <c r="B749" s="43" t="s">
        <v>797</v>
      </c>
      <c r="C749" s="43" t="s">
        <v>86</v>
      </c>
      <c r="D749" s="43" t="s">
        <v>51</v>
      </c>
      <c r="E749" s="43" t="s">
        <v>374</v>
      </c>
      <c r="F749" s="43"/>
      <c r="G749" s="59">
        <f t="shared" si="101"/>
        <v>3500</v>
      </c>
      <c r="H749" s="45">
        <f t="shared" si="101"/>
        <v>3500</v>
      </c>
      <c r="I749" s="45">
        <f t="shared" si="101"/>
        <v>3500</v>
      </c>
    </row>
    <row r="750" spans="1:9" ht="47.25">
      <c r="A750" s="40" t="s">
        <v>274</v>
      </c>
      <c r="B750" s="43" t="s">
        <v>797</v>
      </c>
      <c r="C750" s="43" t="s">
        <v>86</v>
      </c>
      <c r="D750" s="43" t="s">
        <v>51</v>
      </c>
      <c r="E750" s="43" t="s">
        <v>22</v>
      </c>
      <c r="F750" s="43"/>
      <c r="G750" s="59">
        <f t="shared" si="101"/>
        <v>3500</v>
      </c>
      <c r="H750" s="45">
        <f t="shared" si="101"/>
        <v>3500</v>
      </c>
      <c r="I750" s="45">
        <f t="shared" si="101"/>
        <v>3500</v>
      </c>
    </row>
    <row r="751" spans="1:9" ht="31.5">
      <c r="A751" s="40" t="s">
        <v>188</v>
      </c>
      <c r="B751" s="43" t="s">
        <v>797</v>
      </c>
      <c r="C751" s="43" t="s">
        <v>86</v>
      </c>
      <c r="D751" s="43" t="s">
        <v>51</v>
      </c>
      <c r="E751" s="43" t="s">
        <v>719</v>
      </c>
      <c r="F751" s="43"/>
      <c r="G751" s="59">
        <f>G752+G753</f>
        <v>3500</v>
      </c>
      <c r="H751" s="45">
        <f>H752+H753</f>
        <v>3500</v>
      </c>
      <c r="I751" s="45">
        <f>I752+I753</f>
        <v>3500</v>
      </c>
    </row>
    <row r="752" spans="1:9" ht="47.25">
      <c r="A752" s="40" t="s">
        <v>20</v>
      </c>
      <c r="B752" s="43" t="s">
        <v>797</v>
      </c>
      <c r="C752" s="43" t="s">
        <v>86</v>
      </c>
      <c r="D752" s="43" t="s">
        <v>51</v>
      </c>
      <c r="E752" s="43" t="s">
        <v>719</v>
      </c>
      <c r="F752" s="43" t="s">
        <v>100</v>
      </c>
      <c r="G752" s="94">
        <v>20</v>
      </c>
      <c r="H752" s="94">
        <v>20</v>
      </c>
      <c r="I752" s="94">
        <v>20</v>
      </c>
    </row>
    <row r="753" spans="1:9" ht="31.5">
      <c r="A753" s="40" t="s">
        <v>416</v>
      </c>
      <c r="B753" s="43" t="s">
        <v>797</v>
      </c>
      <c r="C753" s="43" t="s">
        <v>86</v>
      </c>
      <c r="D753" s="43" t="s">
        <v>51</v>
      </c>
      <c r="E753" s="43" t="s">
        <v>719</v>
      </c>
      <c r="F753" s="43" t="s">
        <v>415</v>
      </c>
      <c r="G753" s="94">
        <v>3480</v>
      </c>
      <c r="H753" s="94">
        <v>3480</v>
      </c>
      <c r="I753" s="94">
        <v>3480</v>
      </c>
    </row>
    <row r="754" spans="1:9" ht="15.75">
      <c r="A754" s="40" t="s">
        <v>189</v>
      </c>
      <c r="B754" s="43" t="s">
        <v>797</v>
      </c>
      <c r="C754" s="43" t="s">
        <v>86</v>
      </c>
      <c r="D754" s="43" t="s">
        <v>54</v>
      </c>
      <c r="E754" s="43"/>
      <c r="F754" s="43"/>
      <c r="G754" s="59">
        <f>G755+G776+G788+G800+G793+G797</f>
        <v>7882.200000000001</v>
      </c>
      <c r="H754" s="59">
        <f>H755+H776+H788+H800+H793+H797</f>
        <v>10072.199999999999</v>
      </c>
      <c r="I754" s="59">
        <f>I755+I776+I788+I800+I793+I797</f>
        <v>4396.7</v>
      </c>
    </row>
    <row r="755" spans="1:9" ht="78.75">
      <c r="A755" s="40" t="s">
        <v>724</v>
      </c>
      <c r="B755" s="43" t="s">
        <v>797</v>
      </c>
      <c r="C755" s="43" t="s">
        <v>86</v>
      </c>
      <c r="D755" s="43" t="s">
        <v>54</v>
      </c>
      <c r="E755" s="43" t="s">
        <v>174</v>
      </c>
      <c r="F755" s="43"/>
      <c r="G755" s="59">
        <f>G756+G760+G768+G764+G772</f>
        <v>2483.3</v>
      </c>
      <c r="H755" s="45">
        <f>H756+H760+H768+H764</f>
        <v>5179.9</v>
      </c>
      <c r="I755" s="45">
        <f>I756+I760+I768+I764</f>
        <v>2165</v>
      </c>
    </row>
    <row r="756" spans="1:9" ht="31.5">
      <c r="A756" s="40" t="s">
        <v>362</v>
      </c>
      <c r="B756" s="43" t="s">
        <v>797</v>
      </c>
      <c r="C756" s="43" t="s">
        <v>86</v>
      </c>
      <c r="D756" s="43" t="s">
        <v>54</v>
      </c>
      <c r="E756" s="43" t="s">
        <v>178</v>
      </c>
      <c r="F756" s="43"/>
      <c r="G756" s="59">
        <f aca="true" t="shared" si="102" ref="G756:I758">G757</f>
        <v>330</v>
      </c>
      <c r="H756" s="45">
        <f t="shared" si="102"/>
        <v>740</v>
      </c>
      <c r="I756" s="45">
        <f t="shared" si="102"/>
        <v>140</v>
      </c>
    </row>
    <row r="757" spans="1:9" ht="48.75" customHeight="1">
      <c r="A757" s="40" t="s">
        <v>16</v>
      </c>
      <c r="B757" s="43" t="s">
        <v>797</v>
      </c>
      <c r="C757" s="43" t="s">
        <v>86</v>
      </c>
      <c r="D757" s="43" t="s">
        <v>54</v>
      </c>
      <c r="E757" s="43" t="s">
        <v>17</v>
      </c>
      <c r="F757" s="43"/>
      <c r="G757" s="59">
        <f t="shared" si="102"/>
        <v>330</v>
      </c>
      <c r="H757" s="45">
        <f t="shared" si="102"/>
        <v>740</v>
      </c>
      <c r="I757" s="45">
        <f t="shared" si="102"/>
        <v>140</v>
      </c>
    </row>
    <row r="758" spans="1:9" ht="15.75">
      <c r="A758" s="40" t="s">
        <v>363</v>
      </c>
      <c r="B758" s="43" t="s">
        <v>797</v>
      </c>
      <c r="C758" s="43" t="s">
        <v>86</v>
      </c>
      <c r="D758" s="43" t="s">
        <v>54</v>
      </c>
      <c r="E758" s="43" t="s">
        <v>989</v>
      </c>
      <c r="F758" s="43"/>
      <c r="G758" s="59">
        <f t="shared" si="102"/>
        <v>330</v>
      </c>
      <c r="H758" s="45">
        <f t="shared" si="102"/>
        <v>740</v>
      </c>
      <c r="I758" s="45">
        <f t="shared" si="102"/>
        <v>140</v>
      </c>
    </row>
    <row r="759" spans="1:9" ht="15.75">
      <c r="A759" s="40" t="s">
        <v>110</v>
      </c>
      <c r="B759" s="43" t="s">
        <v>797</v>
      </c>
      <c r="C759" s="43" t="s">
        <v>86</v>
      </c>
      <c r="D759" s="43" t="s">
        <v>54</v>
      </c>
      <c r="E759" s="43" t="s">
        <v>989</v>
      </c>
      <c r="F759" s="43" t="s">
        <v>111</v>
      </c>
      <c r="G759" s="94">
        <v>330</v>
      </c>
      <c r="H759" s="94">
        <f>440+300</f>
        <v>740</v>
      </c>
      <c r="I759" s="94">
        <f>440-300</f>
        <v>140</v>
      </c>
    </row>
    <row r="760" spans="1:9" ht="31.5">
      <c r="A760" s="40" t="s">
        <v>182</v>
      </c>
      <c r="B760" s="43" t="s">
        <v>797</v>
      </c>
      <c r="C760" s="43" t="s">
        <v>86</v>
      </c>
      <c r="D760" s="43" t="s">
        <v>54</v>
      </c>
      <c r="E760" s="43" t="s">
        <v>6</v>
      </c>
      <c r="F760" s="43"/>
      <c r="G760" s="59">
        <f aca="true" t="shared" si="103" ref="G760:I762">G761</f>
        <v>800</v>
      </c>
      <c r="H760" s="45">
        <f t="shared" si="103"/>
        <v>2000</v>
      </c>
      <c r="I760" s="45">
        <f t="shared" si="103"/>
        <v>800</v>
      </c>
    </row>
    <row r="761" spans="1:9" ht="51" customHeight="1">
      <c r="A761" s="40" t="s">
        <v>16</v>
      </c>
      <c r="B761" s="43" t="s">
        <v>797</v>
      </c>
      <c r="C761" s="43" t="s">
        <v>86</v>
      </c>
      <c r="D761" s="43" t="s">
        <v>54</v>
      </c>
      <c r="E761" s="43" t="s">
        <v>193</v>
      </c>
      <c r="F761" s="43"/>
      <c r="G761" s="59">
        <f t="shared" si="103"/>
        <v>800</v>
      </c>
      <c r="H761" s="45">
        <f t="shared" si="103"/>
        <v>2000</v>
      </c>
      <c r="I761" s="45">
        <f t="shared" si="103"/>
        <v>800</v>
      </c>
    </row>
    <row r="762" spans="1:9" ht="15.75">
      <c r="A762" s="40" t="s">
        <v>183</v>
      </c>
      <c r="B762" s="43" t="s">
        <v>797</v>
      </c>
      <c r="C762" s="43" t="s">
        <v>86</v>
      </c>
      <c r="D762" s="43" t="s">
        <v>54</v>
      </c>
      <c r="E762" s="43" t="s">
        <v>985</v>
      </c>
      <c r="F762" s="43"/>
      <c r="G762" s="59">
        <f t="shared" si="103"/>
        <v>800</v>
      </c>
      <c r="H762" s="45">
        <f t="shared" si="103"/>
        <v>2000</v>
      </c>
      <c r="I762" s="45">
        <f t="shared" si="103"/>
        <v>800</v>
      </c>
    </row>
    <row r="763" spans="1:9" ht="15.75">
      <c r="A763" s="40" t="s">
        <v>110</v>
      </c>
      <c r="B763" s="43" t="s">
        <v>797</v>
      </c>
      <c r="C763" s="43" t="s">
        <v>86</v>
      </c>
      <c r="D763" s="43" t="s">
        <v>54</v>
      </c>
      <c r="E763" s="43" t="s">
        <v>985</v>
      </c>
      <c r="F763" s="43" t="s">
        <v>111</v>
      </c>
      <c r="G763" s="45">
        <v>800</v>
      </c>
      <c r="H763" s="45">
        <f>1400+600</f>
        <v>2000</v>
      </c>
      <c r="I763" s="45">
        <f>1400-600</f>
        <v>800</v>
      </c>
    </row>
    <row r="764" spans="1:9" ht="31.5">
      <c r="A764" s="40" t="s">
        <v>184</v>
      </c>
      <c r="B764" s="43" t="s">
        <v>797</v>
      </c>
      <c r="C764" s="43" t="s">
        <v>86</v>
      </c>
      <c r="D764" s="43" t="s">
        <v>54</v>
      </c>
      <c r="E764" s="43" t="s">
        <v>10</v>
      </c>
      <c r="F764" s="43"/>
      <c r="G764" s="59">
        <f aca="true" t="shared" si="104" ref="G764:I766">G765</f>
        <v>425</v>
      </c>
      <c r="H764" s="45">
        <f t="shared" si="104"/>
        <v>750</v>
      </c>
      <c r="I764" s="45">
        <f t="shared" si="104"/>
        <v>150</v>
      </c>
    </row>
    <row r="765" spans="1:9" ht="53.25" customHeight="1">
      <c r="A765" s="40" t="s">
        <v>16</v>
      </c>
      <c r="B765" s="43" t="s">
        <v>797</v>
      </c>
      <c r="C765" s="43" t="s">
        <v>86</v>
      </c>
      <c r="D765" s="43" t="s">
        <v>54</v>
      </c>
      <c r="E765" s="43" t="s">
        <v>194</v>
      </c>
      <c r="F765" s="43"/>
      <c r="G765" s="59">
        <f t="shared" si="104"/>
        <v>425</v>
      </c>
      <c r="H765" s="45">
        <f t="shared" si="104"/>
        <v>750</v>
      </c>
      <c r="I765" s="45">
        <f t="shared" si="104"/>
        <v>150</v>
      </c>
    </row>
    <row r="766" spans="1:9" ht="31.5">
      <c r="A766" s="40" t="s">
        <v>23</v>
      </c>
      <c r="B766" s="43" t="s">
        <v>797</v>
      </c>
      <c r="C766" s="43" t="s">
        <v>86</v>
      </c>
      <c r="D766" s="43" t="s">
        <v>54</v>
      </c>
      <c r="E766" s="43" t="s">
        <v>986</v>
      </c>
      <c r="F766" s="43"/>
      <c r="G766" s="59">
        <f t="shared" si="104"/>
        <v>425</v>
      </c>
      <c r="H766" s="45">
        <f t="shared" si="104"/>
        <v>750</v>
      </c>
      <c r="I766" s="45">
        <f t="shared" si="104"/>
        <v>150</v>
      </c>
    </row>
    <row r="767" spans="1:9" ht="15.75">
      <c r="A767" s="40" t="s">
        <v>110</v>
      </c>
      <c r="B767" s="43" t="s">
        <v>797</v>
      </c>
      <c r="C767" s="43" t="s">
        <v>86</v>
      </c>
      <c r="D767" s="43" t="s">
        <v>54</v>
      </c>
      <c r="E767" s="43" t="s">
        <v>986</v>
      </c>
      <c r="F767" s="43" t="s">
        <v>111</v>
      </c>
      <c r="G767" s="59">
        <v>425</v>
      </c>
      <c r="H767" s="59">
        <f>450+300</f>
        <v>750</v>
      </c>
      <c r="I767" s="59">
        <f>450-300</f>
        <v>150</v>
      </c>
    </row>
    <row r="768" spans="1:9" ht="31.5">
      <c r="A768" s="40" t="s">
        <v>186</v>
      </c>
      <c r="B768" s="43" t="s">
        <v>797</v>
      </c>
      <c r="C768" s="43" t="s">
        <v>86</v>
      </c>
      <c r="D768" s="43" t="s">
        <v>54</v>
      </c>
      <c r="E768" s="43" t="s">
        <v>13</v>
      </c>
      <c r="F768" s="43"/>
      <c r="G768" s="59">
        <f>G770</f>
        <v>926.5</v>
      </c>
      <c r="H768" s="59">
        <f>H770</f>
        <v>1689.9</v>
      </c>
      <c r="I768" s="59">
        <f>I770</f>
        <v>1075</v>
      </c>
    </row>
    <row r="769" spans="1:9" ht="63">
      <c r="A769" s="40" t="s">
        <v>16</v>
      </c>
      <c r="B769" s="43" t="s">
        <v>797</v>
      </c>
      <c r="C769" s="43" t="s">
        <v>86</v>
      </c>
      <c r="D769" s="43" t="s">
        <v>54</v>
      </c>
      <c r="E769" s="43" t="s">
        <v>195</v>
      </c>
      <c r="F769" s="43"/>
      <c r="G769" s="59">
        <f aca="true" t="shared" si="105" ref="G769:I770">G770</f>
        <v>926.5</v>
      </c>
      <c r="H769" s="59">
        <f t="shared" si="105"/>
        <v>1689.9</v>
      </c>
      <c r="I769" s="59">
        <f t="shared" si="105"/>
        <v>1075</v>
      </c>
    </row>
    <row r="770" spans="1:9" ht="31.5">
      <c r="A770" s="40" t="s">
        <v>23</v>
      </c>
      <c r="B770" s="43" t="s">
        <v>797</v>
      </c>
      <c r="C770" s="43" t="s">
        <v>86</v>
      </c>
      <c r="D770" s="43" t="s">
        <v>54</v>
      </c>
      <c r="E770" s="43" t="s">
        <v>987</v>
      </c>
      <c r="F770" s="43"/>
      <c r="G770" s="59">
        <f t="shared" si="105"/>
        <v>926.5</v>
      </c>
      <c r="H770" s="45">
        <f t="shared" si="105"/>
        <v>1689.9</v>
      </c>
      <c r="I770" s="45">
        <f t="shared" si="105"/>
        <v>1075</v>
      </c>
    </row>
    <row r="771" spans="1:9" ht="15.75">
      <c r="A771" s="40" t="s">
        <v>110</v>
      </c>
      <c r="B771" s="43" t="s">
        <v>797</v>
      </c>
      <c r="C771" s="43" t="s">
        <v>86</v>
      </c>
      <c r="D771" s="43" t="s">
        <v>54</v>
      </c>
      <c r="E771" s="43" t="s">
        <v>987</v>
      </c>
      <c r="F771" s="43" t="s">
        <v>111</v>
      </c>
      <c r="G771" s="59">
        <v>926.5</v>
      </c>
      <c r="H771" s="94">
        <v>1689.9</v>
      </c>
      <c r="I771" s="94">
        <f>389.9+685.6-0.5</f>
        <v>1075</v>
      </c>
    </row>
    <row r="772" spans="1:9" ht="94.5">
      <c r="A772" s="40" t="s">
        <v>934</v>
      </c>
      <c r="B772" s="43" t="s">
        <v>797</v>
      </c>
      <c r="C772" s="43" t="s">
        <v>86</v>
      </c>
      <c r="D772" s="43" t="s">
        <v>54</v>
      </c>
      <c r="E772" s="43" t="s">
        <v>256</v>
      </c>
      <c r="F772" s="43"/>
      <c r="G772" s="59">
        <f aca="true" t="shared" si="106" ref="G772:I773">G773</f>
        <v>1.8</v>
      </c>
      <c r="H772" s="59">
        <f t="shared" si="106"/>
        <v>0</v>
      </c>
      <c r="I772" s="59">
        <f t="shared" si="106"/>
        <v>0</v>
      </c>
    </row>
    <row r="773" spans="1:9" ht="31.5">
      <c r="A773" s="40" t="s">
        <v>935</v>
      </c>
      <c r="B773" s="43" t="s">
        <v>797</v>
      </c>
      <c r="C773" s="43" t="s">
        <v>86</v>
      </c>
      <c r="D773" s="43" t="s">
        <v>54</v>
      </c>
      <c r="E773" s="43" t="s">
        <v>255</v>
      </c>
      <c r="F773" s="43"/>
      <c r="G773" s="59">
        <f t="shared" si="106"/>
        <v>1.8</v>
      </c>
      <c r="H773" s="59">
        <f t="shared" si="106"/>
        <v>0</v>
      </c>
      <c r="I773" s="59">
        <f t="shared" si="106"/>
        <v>0</v>
      </c>
    </row>
    <row r="774" spans="1:9" ht="15.75">
      <c r="A774" s="40" t="s">
        <v>936</v>
      </c>
      <c r="B774" s="43" t="s">
        <v>797</v>
      </c>
      <c r="C774" s="43" t="s">
        <v>86</v>
      </c>
      <c r="D774" s="43" t="s">
        <v>54</v>
      </c>
      <c r="E774" s="43" t="s">
        <v>257</v>
      </c>
      <c r="F774" s="43"/>
      <c r="G774" s="59">
        <f>G775</f>
        <v>1.8</v>
      </c>
      <c r="H774" s="45">
        <f>H775</f>
        <v>0</v>
      </c>
      <c r="I774" s="45">
        <f>I775</f>
        <v>0</v>
      </c>
    </row>
    <row r="775" spans="1:9" ht="15.75">
      <c r="A775" s="125" t="s">
        <v>110</v>
      </c>
      <c r="B775" s="43" t="s">
        <v>797</v>
      </c>
      <c r="C775" s="43" t="s">
        <v>86</v>
      </c>
      <c r="D775" s="43" t="s">
        <v>54</v>
      </c>
      <c r="E775" s="43" t="s">
        <v>257</v>
      </c>
      <c r="F775" s="43" t="s">
        <v>111</v>
      </c>
      <c r="G775" s="94">
        <v>1.8</v>
      </c>
      <c r="H775" s="94">
        <v>0</v>
      </c>
      <c r="I775" s="94">
        <v>0</v>
      </c>
    </row>
    <row r="776" spans="1:9" ht="63">
      <c r="A776" s="40" t="s">
        <v>713</v>
      </c>
      <c r="B776" s="43" t="s">
        <v>797</v>
      </c>
      <c r="C776" s="43" t="s">
        <v>86</v>
      </c>
      <c r="D776" s="43" t="s">
        <v>54</v>
      </c>
      <c r="E776" s="43" t="s">
        <v>374</v>
      </c>
      <c r="F776" s="43"/>
      <c r="G776" s="59">
        <f>G777+G781+G784</f>
        <v>4676.3</v>
      </c>
      <c r="H776" s="59">
        <f>H777+H781+H784</f>
        <v>4171.5</v>
      </c>
      <c r="I776" s="59">
        <f>I777+I781+I784</f>
        <v>1521.5</v>
      </c>
    </row>
    <row r="777" spans="1:9" ht="63.75" customHeight="1">
      <c r="A777" s="40" t="s">
        <v>714</v>
      </c>
      <c r="B777" s="43" t="s">
        <v>797</v>
      </c>
      <c r="C777" s="43" t="s">
        <v>86</v>
      </c>
      <c r="D777" s="43" t="s">
        <v>54</v>
      </c>
      <c r="E777" s="43" t="s">
        <v>304</v>
      </c>
      <c r="F777" s="43"/>
      <c r="G777" s="59">
        <f>G778</f>
        <v>2373</v>
      </c>
      <c r="H777" s="59">
        <f>H778</f>
        <v>1790</v>
      </c>
      <c r="I777" s="59">
        <f>I778</f>
        <v>490</v>
      </c>
    </row>
    <row r="778" spans="1:9" ht="114" customHeight="1">
      <c r="A778" s="40" t="s">
        <v>190</v>
      </c>
      <c r="B778" s="43" t="s">
        <v>797</v>
      </c>
      <c r="C778" s="43" t="s">
        <v>86</v>
      </c>
      <c r="D778" s="43" t="s">
        <v>54</v>
      </c>
      <c r="E778" s="43" t="s">
        <v>305</v>
      </c>
      <c r="F778" s="43"/>
      <c r="G778" s="59">
        <f>G780+G779</f>
        <v>2373</v>
      </c>
      <c r="H778" s="45">
        <f>H780+H779</f>
        <v>1790</v>
      </c>
      <c r="I778" s="45">
        <f>I780+I779</f>
        <v>490</v>
      </c>
    </row>
    <row r="779" spans="1:9" ht="47.25">
      <c r="A779" s="40" t="s">
        <v>20</v>
      </c>
      <c r="B779" s="43" t="s">
        <v>797</v>
      </c>
      <c r="C779" s="43" t="s">
        <v>86</v>
      </c>
      <c r="D779" s="43" t="s">
        <v>54</v>
      </c>
      <c r="E779" s="43" t="s">
        <v>305</v>
      </c>
      <c r="F779" s="43" t="s">
        <v>100</v>
      </c>
      <c r="G779" s="59">
        <v>18</v>
      </c>
      <c r="H779" s="59">
        <v>10</v>
      </c>
      <c r="I779" s="59">
        <v>10</v>
      </c>
    </row>
    <row r="780" spans="1:9" ht="47.25">
      <c r="A780" s="40" t="s">
        <v>221</v>
      </c>
      <c r="B780" s="43" t="s">
        <v>797</v>
      </c>
      <c r="C780" s="43" t="s">
        <v>86</v>
      </c>
      <c r="D780" s="43" t="s">
        <v>54</v>
      </c>
      <c r="E780" s="43" t="s">
        <v>305</v>
      </c>
      <c r="F780" s="43" t="s">
        <v>222</v>
      </c>
      <c r="G780" s="59">
        <v>2355</v>
      </c>
      <c r="H780" s="59">
        <f>1280+500</f>
        <v>1780</v>
      </c>
      <c r="I780" s="59">
        <f>1280-800</f>
        <v>480</v>
      </c>
    </row>
    <row r="781" spans="1:9" ht="78.75">
      <c r="A781" s="37" t="s">
        <v>254</v>
      </c>
      <c r="B781" s="43" t="s">
        <v>797</v>
      </c>
      <c r="C781" s="43" t="s">
        <v>86</v>
      </c>
      <c r="D781" s="43" t="s">
        <v>54</v>
      </c>
      <c r="E781" s="43" t="s">
        <v>715</v>
      </c>
      <c r="F781" s="43"/>
      <c r="G781" s="59">
        <f aca="true" t="shared" si="107" ref="G781:I782">G782</f>
        <v>1271.8</v>
      </c>
      <c r="H781" s="45">
        <f t="shared" si="107"/>
        <v>1350</v>
      </c>
      <c r="I781" s="45">
        <f t="shared" si="107"/>
        <v>0</v>
      </c>
    </row>
    <row r="782" spans="1:9" ht="110.25">
      <c r="A782" s="37" t="s">
        <v>411</v>
      </c>
      <c r="B782" s="43" t="s">
        <v>797</v>
      </c>
      <c r="C782" s="43" t="s">
        <v>86</v>
      </c>
      <c r="D782" s="43" t="s">
        <v>54</v>
      </c>
      <c r="E782" s="43" t="s">
        <v>716</v>
      </c>
      <c r="F782" s="43"/>
      <c r="G782" s="59">
        <f t="shared" si="107"/>
        <v>1271.8</v>
      </c>
      <c r="H782" s="45">
        <f t="shared" si="107"/>
        <v>1350</v>
      </c>
      <c r="I782" s="45">
        <f t="shared" si="107"/>
        <v>0</v>
      </c>
    </row>
    <row r="783" spans="1:9" ht="47.25">
      <c r="A783" s="40" t="s">
        <v>221</v>
      </c>
      <c r="B783" s="43" t="s">
        <v>797</v>
      </c>
      <c r="C783" s="43" t="s">
        <v>86</v>
      </c>
      <c r="D783" s="43" t="s">
        <v>54</v>
      </c>
      <c r="E783" s="43" t="s">
        <v>716</v>
      </c>
      <c r="F783" s="43" t="s">
        <v>222</v>
      </c>
      <c r="G783" s="59">
        <v>1271.8</v>
      </c>
      <c r="H783" s="59">
        <v>1350</v>
      </c>
      <c r="I783" s="45">
        <v>0</v>
      </c>
    </row>
    <row r="784" spans="1:9" ht="52.5" customHeight="1">
      <c r="A784" s="40" t="s">
        <v>518</v>
      </c>
      <c r="B784" s="43" t="s">
        <v>797</v>
      </c>
      <c r="C784" s="43" t="s">
        <v>86</v>
      </c>
      <c r="D784" s="43" t="s">
        <v>54</v>
      </c>
      <c r="E784" s="43" t="s">
        <v>519</v>
      </c>
      <c r="F784" s="43"/>
      <c r="G784" s="59">
        <f>G785</f>
        <v>1031.5</v>
      </c>
      <c r="H784" s="59">
        <f>H785</f>
        <v>1031.5</v>
      </c>
      <c r="I784" s="59">
        <f>I785</f>
        <v>1031.5</v>
      </c>
    </row>
    <row r="785" spans="1:9" ht="189">
      <c r="A785" s="40" t="s">
        <v>445</v>
      </c>
      <c r="B785" s="43" t="s">
        <v>797</v>
      </c>
      <c r="C785" s="43" t="s">
        <v>86</v>
      </c>
      <c r="D785" s="43" t="s">
        <v>54</v>
      </c>
      <c r="E785" s="43" t="s">
        <v>517</v>
      </c>
      <c r="F785" s="44"/>
      <c r="G785" s="127">
        <f>G787+G786</f>
        <v>1031.5</v>
      </c>
      <c r="H785" s="127">
        <f>H787+H786</f>
        <v>1031.5</v>
      </c>
      <c r="I785" s="127">
        <f>I787+I786</f>
        <v>1031.5</v>
      </c>
    </row>
    <row r="786" spans="1:9" ht="47.25">
      <c r="A786" s="40" t="s">
        <v>20</v>
      </c>
      <c r="B786" s="43" t="s">
        <v>797</v>
      </c>
      <c r="C786" s="43" t="s">
        <v>86</v>
      </c>
      <c r="D786" s="43" t="s">
        <v>54</v>
      </c>
      <c r="E786" s="43" t="s">
        <v>517</v>
      </c>
      <c r="F786" s="44" t="s">
        <v>100</v>
      </c>
      <c r="G786" s="127">
        <v>15.3</v>
      </c>
      <c r="H786" s="127">
        <v>15.3</v>
      </c>
      <c r="I786" s="127">
        <v>15.3</v>
      </c>
    </row>
    <row r="787" spans="1:9" ht="31.5">
      <c r="A787" s="40" t="s">
        <v>416</v>
      </c>
      <c r="B787" s="43" t="s">
        <v>797</v>
      </c>
      <c r="C787" s="43" t="s">
        <v>86</v>
      </c>
      <c r="D787" s="43" t="s">
        <v>54</v>
      </c>
      <c r="E787" s="43" t="s">
        <v>517</v>
      </c>
      <c r="F787" s="44" t="s">
        <v>415</v>
      </c>
      <c r="G787" s="127">
        <v>1016.2</v>
      </c>
      <c r="H787" s="127">
        <v>1016.2</v>
      </c>
      <c r="I787" s="127">
        <v>1016.2</v>
      </c>
    </row>
    <row r="788" spans="1:9" ht="48.75" customHeight="1">
      <c r="A788" s="37" t="s">
        <v>738</v>
      </c>
      <c r="B788" s="43" t="s">
        <v>797</v>
      </c>
      <c r="C788" s="43" t="s">
        <v>86</v>
      </c>
      <c r="D788" s="43" t="s">
        <v>54</v>
      </c>
      <c r="E788" s="44" t="s">
        <v>132</v>
      </c>
      <c r="F788" s="44"/>
      <c r="G788" s="127">
        <f>G789</f>
        <v>642.6</v>
      </c>
      <c r="H788" s="47">
        <f aca="true" t="shared" si="108" ref="H788:I791">H789</f>
        <v>640.8</v>
      </c>
      <c r="I788" s="47">
        <f t="shared" si="108"/>
        <v>630.2</v>
      </c>
    </row>
    <row r="789" spans="1:9" ht="63">
      <c r="A789" s="124" t="s">
        <v>414</v>
      </c>
      <c r="B789" s="43" t="s">
        <v>797</v>
      </c>
      <c r="C789" s="43" t="s">
        <v>86</v>
      </c>
      <c r="D789" s="43" t="s">
        <v>54</v>
      </c>
      <c r="E789" s="43" t="s">
        <v>245</v>
      </c>
      <c r="F789" s="44"/>
      <c r="G789" s="127">
        <f>G790</f>
        <v>642.6</v>
      </c>
      <c r="H789" s="47">
        <f t="shared" si="108"/>
        <v>640.8</v>
      </c>
      <c r="I789" s="47">
        <f t="shared" si="108"/>
        <v>630.2</v>
      </c>
    </row>
    <row r="790" spans="1:9" ht="54.75" customHeight="1">
      <c r="A790" s="124" t="s">
        <v>376</v>
      </c>
      <c r="B790" s="43" t="s">
        <v>797</v>
      </c>
      <c r="C790" s="43" t="s">
        <v>86</v>
      </c>
      <c r="D790" s="43" t="s">
        <v>54</v>
      </c>
      <c r="E790" s="43" t="s">
        <v>246</v>
      </c>
      <c r="F790" s="48"/>
      <c r="G790" s="127">
        <f>G791</f>
        <v>642.6</v>
      </c>
      <c r="H790" s="47">
        <f t="shared" si="108"/>
        <v>640.8</v>
      </c>
      <c r="I790" s="47">
        <f t="shared" si="108"/>
        <v>630.2</v>
      </c>
    </row>
    <row r="791" spans="1:9" ht="31.5">
      <c r="A791" s="124" t="s">
        <v>477</v>
      </c>
      <c r="B791" s="43" t="s">
        <v>797</v>
      </c>
      <c r="C791" s="43" t="s">
        <v>86</v>
      </c>
      <c r="D791" s="43" t="s">
        <v>54</v>
      </c>
      <c r="E791" s="43" t="s">
        <v>402</v>
      </c>
      <c r="F791" s="44"/>
      <c r="G791" s="127">
        <f>G792</f>
        <v>642.6</v>
      </c>
      <c r="H791" s="47">
        <f t="shared" si="108"/>
        <v>640.8</v>
      </c>
      <c r="I791" s="47">
        <f t="shared" si="108"/>
        <v>630.2</v>
      </c>
    </row>
    <row r="792" spans="1:9" ht="47.25">
      <c r="A792" s="40" t="s">
        <v>221</v>
      </c>
      <c r="B792" s="43" t="s">
        <v>797</v>
      </c>
      <c r="C792" s="43" t="s">
        <v>86</v>
      </c>
      <c r="D792" s="43" t="s">
        <v>54</v>
      </c>
      <c r="E792" s="43" t="s">
        <v>402</v>
      </c>
      <c r="F792" s="44" t="s">
        <v>222</v>
      </c>
      <c r="G792" s="146">
        <v>642.6</v>
      </c>
      <c r="H792" s="47">
        <f>426.6+214.2</f>
        <v>640.8</v>
      </c>
      <c r="I792" s="47">
        <f>416+214.2</f>
        <v>630.2</v>
      </c>
    </row>
    <row r="793" spans="1:9" ht="78.75" hidden="1">
      <c r="A793" s="40" t="s">
        <v>789</v>
      </c>
      <c r="B793" s="43" t="s">
        <v>797</v>
      </c>
      <c r="C793" s="43" t="s">
        <v>86</v>
      </c>
      <c r="D793" s="43" t="s">
        <v>54</v>
      </c>
      <c r="E793" s="43" t="s">
        <v>484</v>
      </c>
      <c r="F793" s="44"/>
      <c r="G793" s="127">
        <f>G794</f>
        <v>0</v>
      </c>
      <c r="H793" s="47"/>
      <c r="I793" s="47"/>
    </row>
    <row r="794" spans="1:9" ht="47.25" hidden="1">
      <c r="A794" s="124" t="s">
        <v>554</v>
      </c>
      <c r="B794" s="43" t="s">
        <v>797</v>
      </c>
      <c r="C794" s="43" t="s">
        <v>86</v>
      </c>
      <c r="D794" s="43" t="s">
        <v>54</v>
      </c>
      <c r="E794" s="43" t="s">
        <v>570</v>
      </c>
      <c r="F794" s="74"/>
      <c r="G794" s="94">
        <f>G795</f>
        <v>0</v>
      </c>
      <c r="H794" s="94"/>
      <c r="I794" s="94"/>
    </row>
    <row r="795" spans="1:9" ht="47.25" hidden="1">
      <c r="A795" s="40" t="s">
        <v>556</v>
      </c>
      <c r="B795" s="43" t="s">
        <v>797</v>
      </c>
      <c r="C795" s="43" t="s">
        <v>86</v>
      </c>
      <c r="D795" s="43" t="s">
        <v>54</v>
      </c>
      <c r="E795" s="43" t="s">
        <v>571</v>
      </c>
      <c r="F795" s="74"/>
      <c r="G795" s="94">
        <f>G796</f>
        <v>0</v>
      </c>
      <c r="H795" s="94"/>
      <c r="I795" s="94"/>
    </row>
    <row r="796" spans="1:9" ht="47.25" hidden="1">
      <c r="A796" s="40" t="s">
        <v>221</v>
      </c>
      <c r="B796" s="43" t="s">
        <v>797</v>
      </c>
      <c r="C796" s="43" t="s">
        <v>86</v>
      </c>
      <c r="D796" s="43" t="s">
        <v>54</v>
      </c>
      <c r="E796" s="43" t="s">
        <v>571</v>
      </c>
      <c r="F796" s="74" t="s">
        <v>222</v>
      </c>
      <c r="G796" s="94">
        <v>0</v>
      </c>
      <c r="H796" s="94"/>
      <c r="I796" s="94"/>
    </row>
    <row r="797" spans="1:9" ht="15.75" hidden="1">
      <c r="A797" s="40" t="s">
        <v>214</v>
      </c>
      <c r="B797" s="43" t="s">
        <v>797</v>
      </c>
      <c r="C797" s="43" t="s">
        <v>86</v>
      </c>
      <c r="D797" s="43" t="s">
        <v>54</v>
      </c>
      <c r="E797" s="43" t="s">
        <v>372</v>
      </c>
      <c r="F797" s="43"/>
      <c r="G797" s="94">
        <f>G798</f>
        <v>0</v>
      </c>
      <c r="H797" s="94"/>
      <c r="I797" s="94"/>
    </row>
    <row r="798" spans="1:9" ht="15.75" hidden="1">
      <c r="A798" s="40" t="s">
        <v>215</v>
      </c>
      <c r="B798" s="43" t="s">
        <v>797</v>
      </c>
      <c r="C798" s="43" t="s">
        <v>86</v>
      </c>
      <c r="D798" s="43" t="s">
        <v>54</v>
      </c>
      <c r="E798" s="43" t="s">
        <v>373</v>
      </c>
      <c r="F798" s="43"/>
      <c r="G798" s="94">
        <f>G799</f>
        <v>0</v>
      </c>
      <c r="H798" s="94"/>
      <c r="I798" s="94"/>
    </row>
    <row r="799" spans="1:9" ht="47.25" hidden="1">
      <c r="A799" s="40" t="s">
        <v>221</v>
      </c>
      <c r="B799" s="43" t="s">
        <v>797</v>
      </c>
      <c r="C799" s="43" t="s">
        <v>86</v>
      </c>
      <c r="D799" s="43" t="s">
        <v>54</v>
      </c>
      <c r="E799" s="43" t="s">
        <v>373</v>
      </c>
      <c r="F799" s="43" t="s">
        <v>222</v>
      </c>
      <c r="G799" s="94">
        <v>0</v>
      </c>
      <c r="H799" s="94"/>
      <c r="I799" s="94"/>
    </row>
    <row r="800" spans="1:9" ht="39" customHeight="1">
      <c r="A800" s="40" t="s">
        <v>547</v>
      </c>
      <c r="B800" s="43" t="s">
        <v>797</v>
      </c>
      <c r="C800" s="43" t="s">
        <v>86</v>
      </c>
      <c r="D800" s="43" t="s">
        <v>54</v>
      </c>
      <c r="E800" s="43" t="s">
        <v>548</v>
      </c>
      <c r="F800" s="44"/>
      <c r="G800" s="146">
        <f aca="true" t="shared" si="109" ref="G800:I801">G801</f>
        <v>80</v>
      </c>
      <c r="H800" s="146">
        <f t="shared" si="109"/>
        <v>80</v>
      </c>
      <c r="I800" s="146">
        <f t="shared" si="109"/>
        <v>80</v>
      </c>
    </row>
    <row r="801" spans="1:9" ht="34.5" customHeight="1">
      <c r="A801" s="40" t="s">
        <v>542</v>
      </c>
      <c r="B801" s="43" t="s">
        <v>797</v>
      </c>
      <c r="C801" s="43" t="s">
        <v>86</v>
      </c>
      <c r="D801" s="43" t="s">
        <v>54</v>
      </c>
      <c r="E801" s="43" t="s">
        <v>549</v>
      </c>
      <c r="F801" s="44"/>
      <c r="G801" s="146">
        <f t="shared" si="109"/>
        <v>80</v>
      </c>
      <c r="H801" s="146">
        <f t="shared" si="109"/>
        <v>80</v>
      </c>
      <c r="I801" s="146">
        <f t="shared" si="109"/>
        <v>80</v>
      </c>
    </row>
    <row r="802" spans="1:9" ht="51.75" customHeight="1">
      <c r="A802" s="40" t="s">
        <v>221</v>
      </c>
      <c r="B802" s="43" t="s">
        <v>797</v>
      </c>
      <c r="C802" s="43" t="s">
        <v>86</v>
      </c>
      <c r="D802" s="43" t="s">
        <v>54</v>
      </c>
      <c r="E802" s="43" t="s">
        <v>549</v>
      </c>
      <c r="F802" s="44" t="s">
        <v>222</v>
      </c>
      <c r="G802" s="146">
        <v>80</v>
      </c>
      <c r="H802" s="146">
        <v>80</v>
      </c>
      <c r="I802" s="146">
        <v>80</v>
      </c>
    </row>
    <row r="803" spans="1:9" ht="15.75">
      <c r="A803" s="40" t="s">
        <v>90</v>
      </c>
      <c r="B803" s="43" t="s">
        <v>797</v>
      </c>
      <c r="C803" s="43" t="s">
        <v>61</v>
      </c>
      <c r="D803" s="43"/>
      <c r="E803" s="43"/>
      <c r="F803" s="43"/>
      <c r="G803" s="59">
        <f>G804</f>
        <v>79843.00000000001</v>
      </c>
      <c r="H803" s="45">
        <f>H804</f>
        <v>8362.699999999999</v>
      </c>
      <c r="I803" s="45">
        <f>I804</f>
        <v>8362.699999999999</v>
      </c>
    </row>
    <row r="804" spans="1:9" ht="15.75">
      <c r="A804" s="40" t="s">
        <v>91</v>
      </c>
      <c r="B804" s="43" t="s">
        <v>797</v>
      </c>
      <c r="C804" s="43" t="s">
        <v>61</v>
      </c>
      <c r="D804" s="43" t="s">
        <v>52</v>
      </c>
      <c r="E804" s="43"/>
      <c r="F804" s="43"/>
      <c r="G804" s="59">
        <f>G810+G833+G805</f>
        <v>79843.00000000001</v>
      </c>
      <c r="H804" s="59">
        <f>H810+H833</f>
        <v>8362.699999999999</v>
      </c>
      <c r="I804" s="59">
        <f>I810+I833</f>
        <v>8362.699999999999</v>
      </c>
    </row>
    <row r="805" spans="1:9" ht="78.75">
      <c r="A805" s="40" t="s">
        <v>724</v>
      </c>
      <c r="B805" s="43" t="s">
        <v>797</v>
      </c>
      <c r="C805" s="43" t="s">
        <v>61</v>
      </c>
      <c r="D805" s="43" t="s">
        <v>52</v>
      </c>
      <c r="E805" s="43" t="s">
        <v>174</v>
      </c>
      <c r="F805" s="43"/>
      <c r="G805" s="59">
        <f>G806</f>
        <v>21.5</v>
      </c>
      <c r="H805" s="59"/>
      <c r="I805" s="59"/>
    </row>
    <row r="806" spans="1:9" ht="31.5">
      <c r="A806" s="40" t="s">
        <v>186</v>
      </c>
      <c r="B806" s="43" t="s">
        <v>797</v>
      </c>
      <c r="C806" s="43" t="s">
        <v>61</v>
      </c>
      <c r="D806" s="43" t="s">
        <v>52</v>
      </c>
      <c r="E806" s="43" t="s">
        <v>13</v>
      </c>
      <c r="F806" s="43"/>
      <c r="G806" s="59">
        <f>G807</f>
        <v>21.5</v>
      </c>
      <c r="H806" s="59"/>
      <c r="I806" s="59"/>
    </row>
    <row r="807" spans="1:9" ht="63">
      <c r="A807" s="40" t="s">
        <v>148</v>
      </c>
      <c r="B807" s="43" t="s">
        <v>797</v>
      </c>
      <c r="C807" s="43" t="s">
        <v>61</v>
      </c>
      <c r="D807" s="43" t="s">
        <v>52</v>
      </c>
      <c r="E807" s="43" t="s">
        <v>493</v>
      </c>
      <c r="F807" s="43"/>
      <c r="G807" s="59">
        <f>G808</f>
        <v>21.5</v>
      </c>
      <c r="H807" s="59"/>
      <c r="I807" s="59"/>
    </row>
    <row r="808" spans="1:9" ht="31.5">
      <c r="A808" s="40" t="s">
        <v>185</v>
      </c>
      <c r="B808" s="43" t="s">
        <v>797</v>
      </c>
      <c r="C808" s="43" t="s">
        <v>61</v>
      </c>
      <c r="D808" s="43" t="s">
        <v>52</v>
      </c>
      <c r="E808" s="43" t="s">
        <v>15</v>
      </c>
      <c r="F808" s="43"/>
      <c r="G808" s="59">
        <f>G809</f>
        <v>21.5</v>
      </c>
      <c r="H808" s="59"/>
      <c r="I808" s="59"/>
    </row>
    <row r="809" spans="1:9" ht="15.75">
      <c r="A809" s="40" t="s">
        <v>110</v>
      </c>
      <c r="B809" s="43" t="s">
        <v>797</v>
      </c>
      <c r="C809" s="43" t="s">
        <v>61</v>
      </c>
      <c r="D809" s="43" t="s">
        <v>52</v>
      </c>
      <c r="E809" s="43" t="s">
        <v>15</v>
      </c>
      <c r="F809" s="43" t="s">
        <v>111</v>
      </c>
      <c r="G809" s="59">
        <v>21.5</v>
      </c>
      <c r="H809" s="59"/>
      <c r="I809" s="59"/>
    </row>
    <row r="810" spans="1:9" ht="80.25" customHeight="1">
      <c r="A810" s="40" t="s">
        <v>770</v>
      </c>
      <c r="B810" s="43" t="s">
        <v>797</v>
      </c>
      <c r="C810" s="43" t="s">
        <v>61</v>
      </c>
      <c r="D810" s="43" t="s">
        <v>52</v>
      </c>
      <c r="E810" s="44" t="s">
        <v>149</v>
      </c>
      <c r="F810" s="44"/>
      <c r="G810" s="127">
        <f>G811+G824</f>
        <v>79721.50000000001</v>
      </c>
      <c r="H810" s="47">
        <f>H811+H824</f>
        <v>8262.699999999999</v>
      </c>
      <c r="I810" s="47">
        <f>I811+I824</f>
        <v>8262.699999999999</v>
      </c>
    </row>
    <row r="811" spans="1:9" ht="47.25">
      <c r="A811" s="40" t="s">
        <v>309</v>
      </c>
      <c r="B811" s="43" t="s">
        <v>797</v>
      </c>
      <c r="C811" s="43" t="s">
        <v>61</v>
      </c>
      <c r="D811" s="43" t="s">
        <v>52</v>
      </c>
      <c r="E811" s="44" t="s">
        <v>311</v>
      </c>
      <c r="F811" s="44"/>
      <c r="G811" s="127">
        <f>G812+G816+G821</f>
        <v>72229.90000000001</v>
      </c>
      <c r="H811" s="127">
        <f>H812+H816+H821</f>
        <v>771.1</v>
      </c>
      <c r="I811" s="127">
        <f>I812+I816+I821</f>
        <v>771.1</v>
      </c>
    </row>
    <row r="812" spans="1:9" ht="78.75">
      <c r="A812" s="40" t="s">
        <v>310</v>
      </c>
      <c r="B812" s="43" t="s">
        <v>797</v>
      </c>
      <c r="C812" s="43" t="s">
        <v>61</v>
      </c>
      <c r="D812" s="43" t="s">
        <v>52</v>
      </c>
      <c r="E812" s="44" t="s">
        <v>312</v>
      </c>
      <c r="F812" s="44"/>
      <c r="G812" s="127">
        <f>G813</f>
        <v>771.1</v>
      </c>
      <c r="H812" s="127">
        <f>H813</f>
        <v>771.1</v>
      </c>
      <c r="I812" s="127">
        <f>I813</f>
        <v>771.1</v>
      </c>
    </row>
    <row r="813" spans="1:9" ht="47.25">
      <c r="A813" s="40" t="s">
        <v>472</v>
      </c>
      <c r="B813" s="43" t="s">
        <v>797</v>
      </c>
      <c r="C813" s="43" t="s">
        <v>61</v>
      </c>
      <c r="D813" s="43" t="s">
        <v>52</v>
      </c>
      <c r="E813" s="44" t="s">
        <v>471</v>
      </c>
      <c r="F813" s="44"/>
      <c r="G813" s="127">
        <f>G815+G814</f>
        <v>771.1</v>
      </c>
      <c r="H813" s="127">
        <f>H815+H814</f>
        <v>771.1</v>
      </c>
      <c r="I813" s="127">
        <f>I815+I814</f>
        <v>771.1</v>
      </c>
    </row>
    <row r="814" spans="1:9" ht="47.25">
      <c r="A814" s="40" t="s">
        <v>96</v>
      </c>
      <c r="B814" s="43" t="s">
        <v>797</v>
      </c>
      <c r="C814" s="43" t="s">
        <v>61</v>
      </c>
      <c r="D814" s="43" t="s">
        <v>52</v>
      </c>
      <c r="E814" s="44" t="s">
        <v>471</v>
      </c>
      <c r="F814" s="44" t="s">
        <v>97</v>
      </c>
      <c r="G814" s="47">
        <v>198.9</v>
      </c>
      <c r="H814" s="47">
        <v>148</v>
      </c>
      <c r="I814" s="47">
        <v>148</v>
      </c>
    </row>
    <row r="815" spans="1:9" ht="47.25">
      <c r="A815" s="40" t="s">
        <v>20</v>
      </c>
      <c r="B815" s="43" t="s">
        <v>797</v>
      </c>
      <c r="C815" s="43" t="s">
        <v>61</v>
      </c>
      <c r="D815" s="43" t="s">
        <v>52</v>
      </c>
      <c r="E815" s="44" t="s">
        <v>471</v>
      </c>
      <c r="F815" s="44" t="s">
        <v>100</v>
      </c>
      <c r="G815" s="146">
        <v>572.2</v>
      </c>
      <c r="H815" s="146">
        <f>806.1-148-35</f>
        <v>623.1</v>
      </c>
      <c r="I815" s="146">
        <f>806.1-148-35</f>
        <v>623.1</v>
      </c>
    </row>
    <row r="816" spans="1:9" ht="113.25" customHeight="1">
      <c r="A816" s="40" t="s">
        <v>413</v>
      </c>
      <c r="B816" s="43" t="s">
        <v>797</v>
      </c>
      <c r="C816" s="43" t="s">
        <v>61</v>
      </c>
      <c r="D816" s="43" t="s">
        <v>52</v>
      </c>
      <c r="E816" s="44" t="s">
        <v>412</v>
      </c>
      <c r="F816" s="44"/>
      <c r="G816" s="127">
        <f>G817+G819</f>
        <v>67716.2</v>
      </c>
      <c r="H816" s="127">
        <f>H817+H819</f>
        <v>0</v>
      </c>
      <c r="I816" s="127">
        <f>I817+I819</f>
        <v>0</v>
      </c>
    </row>
    <row r="817" spans="1:9" ht="31.5" hidden="1">
      <c r="A817" s="40" t="s">
        <v>104</v>
      </c>
      <c r="B817" s="43" t="s">
        <v>797</v>
      </c>
      <c r="C817" s="43" t="s">
        <v>61</v>
      </c>
      <c r="D817" s="43" t="s">
        <v>52</v>
      </c>
      <c r="E817" s="44" t="s">
        <v>603</v>
      </c>
      <c r="F817" s="44"/>
      <c r="G817" s="127">
        <f aca="true" t="shared" si="110" ref="G817:I819">G818</f>
        <v>0</v>
      </c>
      <c r="H817" s="127">
        <f t="shared" si="110"/>
        <v>0</v>
      </c>
      <c r="I817" s="127">
        <f t="shared" si="110"/>
        <v>0</v>
      </c>
    </row>
    <row r="818" spans="1:9" ht="188.25" customHeight="1" hidden="1">
      <c r="A818" s="40" t="s">
        <v>418</v>
      </c>
      <c r="B818" s="43" t="s">
        <v>797</v>
      </c>
      <c r="C818" s="43" t="s">
        <v>61</v>
      </c>
      <c r="D818" s="43" t="s">
        <v>52</v>
      </c>
      <c r="E818" s="44" t="s">
        <v>603</v>
      </c>
      <c r="F818" s="44" t="s">
        <v>417</v>
      </c>
      <c r="G818" s="127">
        <v>0</v>
      </c>
      <c r="H818" s="127">
        <v>0</v>
      </c>
      <c r="I818" s="127">
        <v>0</v>
      </c>
    </row>
    <row r="819" spans="1:9" ht="94.5">
      <c r="A819" s="40" t="s">
        <v>604</v>
      </c>
      <c r="B819" s="43" t="s">
        <v>797</v>
      </c>
      <c r="C819" s="43" t="s">
        <v>61</v>
      </c>
      <c r="D819" s="43" t="s">
        <v>52</v>
      </c>
      <c r="E819" s="44" t="s">
        <v>602</v>
      </c>
      <c r="F819" s="44"/>
      <c r="G819" s="127">
        <f t="shared" si="110"/>
        <v>67716.2</v>
      </c>
      <c r="H819" s="127">
        <f t="shared" si="110"/>
        <v>0</v>
      </c>
      <c r="I819" s="127">
        <f t="shared" si="110"/>
        <v>0</v>
      </c>
    </row>
    <row r="820" spans="1:9" ht="181.5" customHeight="1">
      <c r="A820" s="40" t="s">
        <v>418</v>
      </c>
      <c r="B820" s="43" t="s">
        <v>797</v>
      </c>
      <c r="C820" s="43" t="s">
        <v>61</v>
      </c>
      <c r="D820" s="43" t="s">
        <v>52</v>
      </c>
      <c r="E820" s="44" t="s">
        <v>602</v>
      </c>
      <c r="F820" s="44" t="s">
        <v>417</v>
      </c>
      <c r="G820" s="127">
        <f>67039+677.2</f>
        <v>67716.2</v>
      </c>
      <c r="H820" s="127">
        <v>0</v>
      </c>
      <c r="I820" s="127">
        <v>0</v>
      </c>
    </row>
    <row r="821" spans="1:9" ht="51.75" customHeight="1">
      <c r="A821" s="40" t="s">
        <v>526</v>
      </c>
      <c r="B821" s="43" t="s">
        <v>797</v>
      </c>
      <c r="C821" s="43" t="s">
        <v>61</v>
      </c>
      <c r="D821" s="43" t="s">
        <v>52</v>
      </c>
      <c r="E821" s="44" t="s">
        <v>527</v>
      </c>
      <c r="F821" s="44"/>
      <c r="G821" s="127">
        <f aca="true" t="shared" si="111" ref="G821:I822">G822</f>
        <v>3742.6</v>
      </c>
      <c r="H821" s="127">
        <f t="shared" si="111"/>
        <v>0</v>
      </c>
      <c r="I821" s="127">
        <f t="shared" si="111"/>
        <v>0</v>
      </c>
    </row>
    <row r="822" spans="1:9" ht="74.25" customHeight="1">
      <c r="A822" s="40" t="s">
        <v>562</v>
      </c>
      <c r="B822" s="43" t="s">
        <v>797</v>
      </c>
      <c r="C822" s="43" t="s">
        <v>61</v>
      </c>
      <c r="D822" s="43" t="s">
        <v>52</v>
      </c>
      <c r="E822" s="44" t="s">
        <v>528</v>
      </c>
      <c r="F822" s="44"/>
      <c r="G822" s="127">
        <f t="shared" si="111"/>
        <v>3742.6</v>
      </c>
      <c r="H822" s="127">
        <f t="shared" si="111"/>
        <v>0</v>
      </c>
      <c r="I822" s="127">
        <f t="shared" si="111"/>
        <v>0</v>
      </c>
    </row>
    <row r="823" spans="1:9" ht="47.25">
      <c r="A823" s="40" t="s">
        <v>20</v>
      </c>
      <c r="B823" s="43" t="s">
        <v>797</v>
      </c>
      <c r="C823" s="43" t="s">
        <v>61</v>
      </c>
      <c r="D823" s="43" t="s">
        <v>52</v>
      </c>
      <c r="E823" s="44" t="s">
        <v>528</v>
      </c>
      <c r="F823" s="44" t="s">
        <v>100</v>
      </c>
      <c r="G823" s="127">
        <f>3667.7+74.9</f>
        <v>3742.6</v>
      </c>
      <c r="H823" s="127">
        <v>0</v>
      </c>
      <c r="I823" s="127">
        <v>0</v>
      </c>
    </row>
    <row r="824" spans="1:9" ht="47.25">
      <c r="A824" s="40" t="s">
        <v>313</v>
      </c>
      <c r="B824" s="43" t="s">
        <v>797</v>
      </c>
      <c r="C824" s="43" t="s">
        <v>61</v>
      </c>
      <c r="D824" s="43" t="s">
        <v>52</v>
      </c>
      <c r="E824" s="44" t="s">
        <v>330</v>
      </c>
      <c r="F824" s="44"/>
      <c r="G824" s="127">
        <f>G825+G830</f>
        <v>7491.599999999999</v>
      </c>
      <c r="H824" s="127">
        <f>H825+H830</f>
        <v>7491.599999999999</v>
      </c>
      <c r="I824" s="127">
        <f>I825+I830</f>
        <v>7491.599999999999</v>
      </c>
    </row>
    <row r="825" spans="1:9" ht="63">
      <c r="A825" s="40" t="s">
        <v>314</v>
      </c>
      <c r="B825" s="43" t="s">
        <v>797</v>
      </c>
      <c r="C825" s="43" t="s">
        <v>61</v>
      </c>
      <c r="D825" s="43" t="s">
        <v>52</v>
      </c>
      <c r="E825" s="44" t="s">
        <v>331</v>
      </c>
      <c r="F825" s="44"/>
      <c r="G825" s="127">
        <f>G826+G828</f>
        <v>6824.9</v>
      </c>
      <c r="H825" s="127">
        <f>H826+H828</f>
        <v>6824.9</v>
      </c>
      <c r="I825" s="127">
        <f>I826+I828</f>
        <v>6824.9</v>
      </c>
    </row>
    <row r="826" spans="1:9" ht="31.5">
      <c r="A826" s="40" t="s">
        <v>104</v>
      </c>
      <c r="B826" s="43" t="s">
        <v>797</v>
      </c>
      <c r="C826" s="43" t="s">
        <v>61</v>
      </c>
      <c r="D826" s="43" t="s">
        <v>52</v>
      </c>
      <c r="E826" s="44" t="s">
        <v>332</v>
      </c>
      <c r="F826" s="44"/>
      <c r="G826" s="127">
        <f>G827</f>
        <v>5279.099999999999</v>
      </c>
      <c r="H826" s="47">
        <f>H827</f>
        <v>5212.9</v>
      </c>
      <c r="I826" s="47">
        <f>I827</f>
        <v>5144.299999999999</v>
      </c>
    </row>
    <row r="827" spans="1:9" ht="15.75">
      <c r="A827" s="40" t="s">
        <v>110</v>
      </c>
      <c r="B827" s="43" t="s">
        <v>797</v>
      </c>
      <c r="C827" s="43" t="s">
        <v>61</v>
      </c>
      <c r="D827" s="43" t="s">
        <v>52</v>
      </c>
      <c r="E827" s="44" t="s">
        <v>332</v>
      </c>
      <c r="F827" s="44" t="s">
        <v>111</v>
      </c>
      <c r="G827" s="146">
        <f>6924.9-1545.8-100</f>
        <v>5279.099999999999</v>
      </c>
      <c r="H827" s="146">
        <f>6924.9-1612-100</f>
        <v>5212.9</v>
      </c>
      <c r="I827" s="146">
        <f>6924.9-1680.6-100</f>
        <v>5144.299999999999</v>
      </c>
    </row>
    <row r="828" spans="1:9" ht="63">
      <c r="A828" s="40" t="s">
        <v>462</v>
      </c>
      <c r="B828" s="43" t="s">
        <v>797</v>
      </c>
      <c r="C828" s="43" t="s">
        <v>61</v>
      </c>
      <c r="D828" s="43" t="s">
        <v>52</v>
      </c>
      <c r="E828" s="44" t="s">
        <v>470</v>
      </c>
      <c r="F828" s="44"/>
      <c r="G828" s="127">
        <f>G829</f>
        <v>1545.8</v>
      </c>
      <c r="H828" s="127">
        <f>H829</f>
        <v>1612</v>
      </c>
      <c r="I828" s="127">
        <f>I829</f>
        <v>1680.6</v>
      </c>
    </row>
    <row r="829" spans="1:9" ht="15.75">
      <c r="A829" s="40" t="s">
        <v>110</v>
      </c>
      <c r="B829" s="43" t="s">
        <v>797</v>
      </c>
      <c r="C829" s="43" t="s">
        <v>61</v>
      </c>
      <c r="D829" s="43" t="s">
        <v>52</v>
      </c>
      <c r="E829" s="44" t="s">
        <v>470</v>
      </c>
      <c r="F829" s="44" t="s">
        <v>111</v>
      </c>
      <c r="G829" s="146">
        <v>1545.8</v>
      </c>
      <c r="H829" s="146">
        <v>1612</v>
      </c>
      <c r="I829" s="146">
        <v>1680.6</v>
      </c>
    </row>
    <row r="830" spans="1:9" ht="105" customHeight="1">
      <c r="A830" s="40" t="s">
        <v>539</v>
      </c>
      <c r="B830" s="43" t="s">
        <v>797</v>
      </c>
      <c r="C830" s="43" t="s">
        <v>61</v>
      </c>
      <c r="D830" s="43" t="s">
        <v>52</v>
      </c>
      <c r="E830" s="44" t="s">
        <v>540</v>
      </c>
      <c r="F830" s="44"/>
      <c r="G830" s="47">
        <f aca="true" t="shared" si="112" ref="G830:I831">G831</f>
        <v>666.7</v>
      </c>
      <c r="H830" s="47">
        <f t="shared" si="112"/>
        <v>666.7</v>
      </c>
      <c r="I830" s="47">
        <f t="shared" si="112"/>
        <v>666.7</v>
      </c>
    </row>
    <row r="831" spans="1:9" ht="91.5" customHeight="1">
      <c r="A831" s="40" t="s">
        <v>503</v>
      </c>
      <c r="B831" s="43" t="s">
        <v>797</v>
      </c>
      <c r="C831" s="43" t="s">
        <v>61</v>
      </c>
      <c r="D831" s="43" t="s">
        <v>52</v>
      </c>
      <c r="E831" s="44" t="s">
        <v>541</v>
      </c>
      <c r="F831" s="44"/>
      <c r="G831" s="47">
        <f t="shared" si="112"/>
        <v>666.7</v>
      </c>
      <c r="H831" s="47">
        <f t="shared" si="112"/>
        <v>666.7</v>
      </c>
      <c r="I831" s="47">
        <f t="shared" si="112"/>
        <v>666.7</v>
      </c>
    </row>
    <row r="832" spans="1:9" ht="15.75">
      <c r="A832" s="40" t="s">
        <v>110</v>
      </c>
      <c r="B832" s="43" t="s">
        <v>797</v>
      </c>
      <c r="C832" s="43" t="s">
        <v>61</v>
      </c>
      <c r="D832" s="43" t="s">
        <v>52</v>
      </c>
      <c r="E832" s="44" t="s">
        <v>541</v>
      </c>
      <c r="F832" s="44" t="s">
        <v>111</v>
      </c>
      <c r="G832" s="47">
        <f>600+66.7</f>
        <v>666.7</v>
      </c>
      <c r="H832" s="47">
        <f>600+66.7</f>
        <v>666.7</v>
      </c>
      <c r="I832" s="47">
        <f>600+66.7</f>
        <v>666.7</v>
      </c>
    </row>
    <row r="833" spans="1:9" ht="78.75">
      <c r="A833" s="40" t="s">
        <v>772</v>
      </c>
      <c r="B833" s="43" t="s">
        <v>797</v>
      </c>
      <c r="C833" s="43" t="s">
        <v>61</v>
      </c>
      <c r="D833" s="43" t="s">
        <v>52</v>
      </c>
      <c r="E833" s="43" t="s">
        <v>560</v>
      </c>
      <c r="F833" s="74"/>
      <c r="G833" s="94">
        <f>G834</f>
        <v>100</v>
      </c>
      <c r="H833" s="94">
        <f aca="true" t="shared" si="113" ref="H833:I835">H834</f>
        <v>100</v>
      </c>
      <c r="I833" s="94">
        <f t="shared" si="113"/>
        <v>100</v>
      </c>
    </row>
    <row r="834" spans="1:9" ht="63">
      <c r="A834" s="40" t="s">
        <v>773</v>
      </c>
      <c r="B834" s="43" t="s">
        <v>797</v>
      </c>
      <c r="C834" s="43" t="s">
        <v>61</v>
      </c>
      <c r="D834" s="43" t="s">
        <v>52</v>
      </c>
      <c r="E834" s="43" t="s">
        <v>561</v>
      </c>
      <c r="F834" s="74"/>
      <c r="G834" s="94">
        <f>G835</f>
        <v>100</v>
      </c>
      <c r="H834" s="94">
        <f t="shared" si="113"/>
        <v>100</v>
      </c>
      <c r="I834" s="94">
        <f t="shared" si="113"/>
        <v>100</v>
      </c>
    </row>
    <row r="835" spans="1:9" ht="47.25">
      <c r="A835" s="40" t="s">
        <v>472</v>
      </c>
      <c r="B835" s="43" t="s">
        <v>797</v>
      </c>
      <c r="C835" s="43" t="s">
        <v>61</v>
      </c>
      <c r="D835" s="43" t="s">
        <v>52</v>
      </c>
      <c r="E835" s="43" t="s">
        <v>563</v>
      </c>
      <c r="F835" s="74"/>
      <c r="G835" s="94">
        <f>G836</f>
        <v>100</v>
      </c>
      <c r="H835" s="94">
        <f t="shared" si="113"/>
        <v>100</v>
      </c>
      <c r="I835" s="94">
        <f t="shared" si="113"/>
        <v>100</v>
      </c>
    </row>
    <row r="836" spans="1:9" ht="47.25">
      <c r="A836" s="40" t="s">
        <v>20</v>
      </c>
      <c r="B836" s="43" t="s">
        <v>797</v>
      </c>
      <c r="C836" s="43" t="s">
        <v>61</v>
      </c>
      <c r="D836" s="43" t="s">
        <v>52</v>
      </c>
      <c r="E836" s="43" t="s">
        <v>563</v>
      </c>
      <c r="F836" s="74" t="s">
        <v>100</v>
      </c>
      <c r="G836" s="94">
        <v>100</v>
      </c>
      <c r="H836" s="94">
        <v>100</v>
      </c>
      <c r="I836" s="94">
        <v>100</v>
      </c>
    </row>
    <row r="837" spans="1:9" ht="65.25" customHeight="1">
      <c r="A837" s="117" t="s">
        <v>978</v>
      </c>
      <c r="B837" s="152" t="s">
        <v>890</v>
      </c>
      <c r="C837" s="176"/>
      <c r="D837" s="176"/>
      <c r="E837" s="176"/>
      <c r="F837" s="176"/>
      <c r="G837" s="59">
        <f>G860+G867+G884+G896+G838+G953</f>
        <v>30577.800000000003</v>
      </c>
      <c r="H837" s="59">
        <f>H860+H867+H884+H896+H838+H953</f>
        <v>22073.8</v>
      </c>
      <c r="I837" s="59">
        <f>I860+I867+I884+I896+I838+I953</f>
        <v>19447</v>
      </c>
    </row>
    <row r="838" spans="1:9" ht="94.5">
      <c r="A838" s="25" t="s">
        <v>55</v>
      </c>
      <c r="B838" s="44" t="s">
        <v>890</v>
      </c>
      <c r="C838" s="43" t="s">
        <v>51</v>
      </c>
      <c r="D838" s="43"/>
      <c r="E838" s="176"/>
      <c r="F838" s="177"/>
      <c r="G838" s="59">
        <f>G839+G850</f>
        <v>6483.6</v>
      </c>
      <c r="H838" s="59">
        <f aca="true" t="shared" si="114" ref="G838:I841">H839</f>
        <v>6806.3</v>
      </c>
      <c r="I838" s="59">
        <f t="shared" si="114"/>
        <v>5796.3</v>
      </c>
    </row>
    <row r="839" spans="1:9" ht="15.75">
      <c r="A839" s="25" t="s">
        <v>50</v>
      </c>
      <c r="B839" s="44" t="s">
        <v>890</v>
      </c>
      <c r="C839" s="43" t="s">
        <v>51</v>
      </c>
      <c r="D839" s="43" t="s">
        <v>56</v>
      </c>
      <c r="E839" s="176"/>
      <c r="F839" s="177"/>
      <c r="G839" s="59">
        <f>G840</f>
        <v>6315.400000000001</v>
      </c>
      <c r="H839" s="59">
        <f t="shared" si="114"/>
        <v>6806.3</v>
      </c>
      <c r="I839" s="59">
        <f t="shared" si="114"/>
        <v>5796.3</v>
      </c>
    </row>
    <row r="840" spans="1:9" ht="78.75">
      <c r="A840" s="40" t="s">
        <v>687</v>
      </c>
      <c r="B840" s="44" t="s">
        <v>890</v>
      </c>
      <c r="C840" s="43" t="s">
        <v>51</v>
      </c>
      <c r="D840" s="43" t="s">
        <v>56</v>
      </c>
      <c r="E840" s="43" t="s">
        <v>566</v>
      </c>
      <c r="F840" s="177"/>
      <c r="G840" s="59">
        <f>G841</f>
        <v>6315.400000000001</v>
      </c>
      <c r="H840" s="59">
        <f>H841</f>
        <v>6806.3</v>
      </c>
      <c r="I840" s="59">
        <f>I841</f>
        <v>5796.3</v>
      </c>
    </row>
    <row r="841" spans="1:9" ht="78.75">
      <c r="A841" s="87" t="s">
        <v>942</v>
      </c>
      <c r="B841" s="44" t="s">
        <v>890</v>
      </c>
      <c r="C841" s="43" t="s">
        <v>51</v>
      </c>
      <c r="D841" s="43" t="s">
        <v>56</v>
      </c>
      <c r="E841" s="43" t="s">
        <v>680</v>
      </c>
      <c r="F841" s="74"/>
      <c r="G841" s="94">
        <f t="shared" si="114"/>
        <v>6315.400000000001</v>
      </c>
      <c r="H841" s="94">
        <f t="shared" si="114"/>
        <v>6806.3</v>
      </c>
      <c r="I841" s="94">
        <f t="shared" si="114"/>
        <v>5796.3</v>
      </c>
    </row>
    <row r="842" spans="1:9" ht="78.75">
      <c r="A842" s="40" t="s">
        <v>941</v>
      </c>
      <c r="B842" s="44" t="s">
        <v>890</v>
      </c>
      <c r="C842" s="43" t="s">
        <v>51</v>
      </c>
      <c r="D842" s="43" t="s">
        <v>56</v>
      </c>
      <c r="E842" s="43" t="s">
        <v>682</v>
      </c>
      <c r="F842" s="74"/>
      <c r="G842" s="94">
        <f>G843+G847</f>
        <v>6315.400000000001</v>
      </c>
      <c r="H842" s="94">
        <f>H843+H847</f>
        <v>6806.3</v>
      </c>
      <c r="I842" s="94">
        <f>I843+I847</f>
        <v>5796.3</v>
      </c>
    </row>
    <row r="843" spans="1:9" ht="31.5">
      <c r="A843" s="40" t="s">
        <v>95</v>
      </c>
      <c r="B843" s="44" t="s">
        <v>890</v>
      </c>
      <c r="C843" s="43" t="s">
        <v>51</v>
      </c>
      <c r="D843" s="43" t="s">
        <v>56</v>
      </c>
      <c r="E843" s="43" t="s">
        <v>683</v>
      </c>
      <c r="F843" s="43"/>
      <c r="G843" s="94">
        <f>G844+G845+G846</f>
        <v>4815.400000000001</v>
      </c>
      <c r="H843" s="94">
        <f>H844+H845+H846</f>
        <v>5306.3</v>
      </c>
      <c r="I843" s="94">
        <f>I844+I845+I846</f>
        <v>4296.3</v>
      </c>
    </row>
    <row r="844" spans="1:9" ht="33" customHeight="1">
      <c r="A844" s="40" t="s">
        <v>96</v>
      </c>
      <c r="B844" s="44" t="s">
        <v>890</v>
      </c>
      <c r="C844" s="43" t="s">
        <v>51</v>
      </c>
      <c r="D844" s="43" t="s">
        <v>56</v>
      </c>
      <c r="E844" s="43" t="s">
        <v>683</v>
      </c>
      <c r="F844" s="43" t="s">
        <v>97</v>
      </c>
      <c r="G844" s="94">
        <f>5518.8-1500</f>
        <v>4018.8</v>
      </c>
      <c r="H844" s="94">
        <f>5518.8-1500</f>
        <v>4018.8</v>
      </c>
      <c r="I844" s="94">
        <f>5518.8-1500</f>
        <v>4018.8</v>
      </c>
    </row>
    <row r="845" spans="1:9" ht="49.5" customHeight="1">
      <c r="A845" s="40" t="s">
        <v>20</v>
      </c>
      <c r="B845" s="44" t="s">
        <v>890</v>
      </c>
      <c r="C845" s="43" t="s">
        <v>51</v>
      </c>
      <c r="D845" s="43" t="s">
        <v>56</v>
      </c>
      <c r="E845" s="43" t="s">
        <v>683</v>
      </c>
      <c r="F845" s="43" t="s">
        <v>100</v>
      </c>
      <c r="G845" s="94">
        <v>765.8000000000001</v>
      </c>
      <c r="H845" s="94">
        <f>782.5+500</f>
        <v>1282.5</v>
      </c>
      <c r="I845" s="94">
        <f>782.5-510</f>
        <v>272.5</v>
      </c>
    </row>
    <row r="846" spans="1:9" ht="48.75" customHeight="1">
      <c r="A846" s="40" t="s">
        <v>21</v>
      </c>
      <c r="B846" s="44" t="s">
        <v>890</v>
      </c>
      <c r="C846" s="43" t="s">
        <v>51</v>
      </c>
      <c r="D846" s="43" t="s">
        <v>56</v>
      </c>
      <c r="E846" s="43" t="s">
        <v>683</v>
      </c>
      <c r="F846" s="43" t="s">
        <v>101</v>
      </c>
      <c r="G846" s="94">
        <v>30.8</v>
      </c>
      <c r="H846" s="94">
        <v>5</v>
      </c>
      <c r="I846" s="94">
        <v>5</v>
      </c>
    </row>
    <row r="847" spans="1:9" ht="63">
      <c r="A847" s="40" t="s">
        <v>462</v>
      </c>
      <c r="B847" s="44" t="s">
        <v>890</v>
      </c>
      <c r="C847" s="43" t="s">
        <v>51</v>
      </c>
      <c r="D847" s="43" t="s">
        <v>56</v>
      </c>
      <c r="E847" s="43" t="s">
        <v>686</v>
      </c>
      <c r="F847" s="43"/>
      <c r="G847" s="94">
        <f>G848</f>
        <v>1500</v>
      </c>
      <c r="H847" s="94">
        <f>H848</f>
        <v>1500</v>
      </c>
      <c r="I847" s="94">
        <f>I848</f>
        <v>1500</v>
      </c>
    </row>
    <row r="848" spans="1:9" ht="31.5">
      <c r="A848" s="37" t="s">
        <v>229</v>
      </c>
      <c r="B848" s="44" t="s">
        <v>890</v>
      </c>
      <c r="C848" s="43" t="s">
        <v>51</v>
      </c>
      <c r="D848" s="43" t="s">
        <v>56</v>
      </c>
      <c r="E848" s="43" t="s">
        <v>686</v>
      </c>
      <c r="F848" s="43" t="s">
        <v>97</v>
      </c>
      <c r="G848" s="94">
        <v>1500</v>
      </c>
      <c r="H848" s="94">
        <v>1500</v>
      </c>
      <c r="I848" s="94">
        <v>1500</v>
      </c>
    </row>
    <row r="849" spans="1:9" ht="15.75">
      <c r="A849" s="40" t="s">
        <v>62</v>
      </c>
      <c r="B849" s="44" t="s">
        <v>890</v>
      </c>
      <c r="C849" s="43" t="s">
        <v>51</v>
      </c>
      <c r="D849" s="43" t="s">
        <v>63</v>
      </c>
      <c r="E849" s="43"/>
      <c r="F849" s="179"/>
      <c r="G849" s="148">
        <f>G850</f>
        <v>168.20000000000002</v>
      </c>
      <c r="H849" s="148">
        <f>H850</f>
        <v>0</v>
      </c>
      <c r="I849" s="148">
        <f>I850</f>
        <v>0</v>
      </c>
    </row>
    <row r="850" spans="1:9" ht="94.5">
      <c r="A850" s="40" t="s">
        <v>825</v>
      </c>
      <c r="B850" s="43" t="s">
        <v>890</v>
      </c>
      <c r="C850" s="43" t="s">
        <v>51</v>
      </c>
      <c r="D850" s="43" t="s">
        <v>63</v>
      </c>
      <c r="E850" s="43" t="s">
        <v>334</v>
      </c>
      <c r="F850" s="43"/>
      <c r="G850" s="94">
        <f>G851+G856</f>
        <v>168.20000000000002</v>
      </c>
      <c r="H850" s="94">
        <f>H851+H856</f>
        <v>0</v>
      </c>
      <c r="I850" s="94">
        <f>I851+I856</f>
        <v>0</v>
      </c>
    </row>
    <row r="851" spans="1:9" ht="47.25">
      <c r="A851" s="40" t="s">
        <v>826</v>
      </c>
      <c r="B851" s="43" t="s">
        <v>890</v>
      </c>
      <c r="C851" s="43" t="s">
        <v>51</v>
      </c>
      <c r="D851" s="43" t="s">
        <v>63</v>
      </c>
      <c r="E851" s="43" t="s">
        <v>335</v>
      </c>
      <c r="F851" s="43"/>
      <c r="G851" s="94">
        <f>G852</f>
        <v>164.8</v>
      </c>
      <c r="H851" s="45">
        <f aca="true" t="shared" si="115" ref="G851:I852">H852</f>
        <v>0</v>
      </c>
      <c r="I851" s="45">
        <f t="shared" si="115"/>
        <v>0</v>
      </c>
    </row>
    <row r="852" spans="1:9" ht="47.25">
      <c r="A852" s="40" t="s">
        <v>827</v>
      </c>
      <c r="B852" s="43" t="s">
        <v>890</v>
      </c>
      <c r="C852" s="43" t="s">
        <v>51</v>
      </c>
      <c r="D852" s="43" t="s">
        <v>63</v>
      </c>
      <c r="E852" s="43" t="s">
        <v>336</v>
      </c>
      <c r="F852" s="43"/>
      <c r="G852" s="94">
        <f t="shared" si="115"/>
        <v>164.8</v>
      </c>
      <c r="H852" s="45">
        <f t="shared" si="115"/>
        <v>0</v>
      </c>
      <c r="I852" s="45">
        <f t="shared" si="115"/>
        <v>0</v>
      </c>
    </row>
    <row r="853" spans="1:9" ht="15.75">
      <c r="A853" s="40" t="s">
        <v>223</v>
      </c>
      <c r="B853" s="43" t="s">
        <v>890</v>
      </c>
      <c r="C853" s="43" t="s">
        <v>51</v>
      </c>
      <c r="D853" s="43" t="s">
        <v>63</v>
      </c>
      <c r="E853" s="43" t="s">
        <v>337</v>
      </c>
      <c r="F853" s="43"/>
      <c r="G853" s="94">
        <f>G854+G855</f>
        <v>164.8</v>
      </c>
      <c r="H853" s="94">
        <f>H854+H855</f>
        <v>0</v>
      </c>
      <c r="I853" s="94">
        <f>I854+I855</f>
        <v>0</v>
      </c>
    </row>
    <row r="854" spans="1:9" ht="47.25">
      <c r="A854" s="40" t="s">
        <v>20</v>
      </c>
      <c r="B854" s="43" t="s">
        <v>890</v>
      </c>
      <c r="C854" s="43" t="s">
        <v>51</v>
      </c>
      <c r="D854" s="43" t="s">
        <v>63</v>
      </c>
      <c r="E854" s="43" t="s">
        <v>337</v>
      </c>
      <c r="F854" s="43" t="s">
        <v>100</v>
      </c>
      <c r="G854" s="94">
        <v>155.3</v>
      </c>
      <c r="H854" s="94"/>
      <c r="I854" s="94"/>
    </row>
    <row r="855" spans="1:9" ht="15.75">
      <c r="A855" s="40" t="s">
        <v>992</v>
      </c>
      <c r="B855" s="43" t="s">
        <v>890</v>
      </c>
      <c r="C855" s="43" t="s">
        <v>51</v>
      </c>
      <c r="D855" s="43" t="s">
        <v>63</v>
      </c>
      <c r="E855" s="43" t="s">
        <v>337</v>
      </c>
      <c r="F855" s="43" t="s">
        <v>991</v>
      </c>
      <c r="G855" s="94">
        <v>9.5</v>
      </c>
      <c r="H855" s="94"/>
      <c r="I855" s="94"/>
    </row>
    <row r="856" spans="1:9" ht="173.25">
      <c r="A856" s="40" t="s">
        <v>830</v>
      </c>
      <c r="B856" s="43" t="s">
        <v>890</v>
      </c>
      <c r="C856" s="43" t="s">
        <v>51</v>
      </c>
      <c r="D856" s="43" t="s">
        <v>63</v>
      </c>
      <c r="E856" s="43" t="s">
        <v>342</v>
      </c>
      <c r="F856" s="43"/>
      <c r="G856" s="94">
        <f>G857</f>
        <v>3.4</v>
      </c>
      <c r="H856" s="94">
        <f>H857</f>
        <v>0</v>
      </c>
      <c r="I856" s="94">
        <f>I857</f>
        <v>0</v>
      </c>
    </row>
    <row r="857" spans="1:9" ht="78.75">
      <c r="A857" s="40" t="s">
        <v>832</v>
      </c>
      <c r="B857" s="43" t="s">
        <v>890</v>
      </c>
      <c r="C857" s="43" t="s">
        <v>51</v>
      </c>
      <c r="D857" s="43" t="s">
        <v>63</v>
      </c>
      <c r="E857" s="43" t="s">
        <v>515</v>
      </c>
      <c r="F857" s="43"/>
      <c r="G857" s="94">
        <f aca="true" t="shared" si="116" ref="G857:I858">G858</f>
        <v>3.4</v>
      </c>
      <c r="H857" s="45">
        <f t="shared" si="116"/>
        <v>0</v>
      </c>
      <c r="I857" s="45">
        <f t="shared" si="116"/>
        <v>0</v>
      </c>
    </row>
    <row r="858" spans="1:9" ht="47.25">
      <c r="A858" s="40" t="s">
        <v>224</v>
      </c>
      <c r="B858" s="43" t="s">
        <v>890</v>
      </c>
      <c r="C858" s="43" t="s">
        <v>51</v>
      </c>
      <c r="D858" s="43" t="s">
        <v>63</v>
      </c>
      <c r="E858" s="43" t="s">
        <v>516</v>
      </c>
      <c r="F858" s="43"/>
      <c r="G858" s="94">
        <f t="shared" si="116"/>
        <v>3.4</v>
      </c>
      <c r="H858" s="45">
        <f t="shared" si="116"/>
        <v>0</v>
      </c>
      <c r="I858" s="45">
        <f t="shared" si="116"/>
        <v>0</v>
      </c>
    </row>
    <row r="859" spans="1:9" ht="15.75">
      <c r="A859" s="40" t="s">
        <v>992</v>
      </c>
      <c r="B859" s="43" t="s">
        <v>890</v>
      </c>
      <c r="C859" s="43" t="s">
        <v>51</v>
      </c>
      <c r="D859" s="43" t="s">
        <v>63</v>
      </c>
      <c r="E859" s="43" t="s">
        <v>516</v>
      </c>
      <c r="F859" s="43" t="s">
        <v>991</v>
      </c>
      <c r="G859" s="94">
        <v>3.4</v>
      </c>
      <c r="H859" s="94">
        <v>0</v>
      </c>
      <c r="I859" s="94">
        <v>0</v>
      </c>
    </row>
    <row r="860" spans="1:9" ht="15.75">
      <c r="A860" s="178" t="s">
        <v>838</v>
      </c>
      <c r="B860" s="169" t="s">
        <v>890</v>
      </c>
      <c r="C860" s="179" t="s">
        <v>52</v>
      </c>
      <c r="D860" s="179"/>
      <c r="E860" s="179"/>
      <c r="F860" s="179"/>
      <c r="G860" s="180">
        <f aca="true" t="shared" si="117" ref="G860:I862">G861</f>
        <v>315.70000000000005</v>
      </c>
      <c r="H860" s="180">
        <f t="shared" si="117"/>
        <v>320.40000000000003</v>
      </c>
      <c r="I860" s="180">
        <f t="shared" si="117"/>
        <v>332.6</v>
      </c>
    </row>
    <row r="861" spans="1:9" ht="31.5">
      <c r="A861" s="40" t="s">
        <v>839</v>
      </c>
      <c r="B861" s="44" t="s">
        <v>890</v>
      </c>
      <c r="C861" s="43" t="s">
        <v>52</v>
      </c>
      <c r="D861" s="43" t="s">
        <v>54</v>
      </c>
      <c r="E861" s="43"/>
      <c r="F861" s="43"/>
      <c r="G861" s="59">
        <f t="shared" si="117"/>
        <v>315.70000000000005</v>
      </c>
      <c r="H861" s="59">
        <f t="shared" si="117"/>
        <v>320.40000000000003</v>
      </c>
      <c r="I861" s="59">
        <f t="shared" si="117"/>
        <v>332.6</v>
      </c>
    </row>
    <row r="862" spans="1:9" ht="78.75">
      <c r="A862" s="40" t="s">
        <v>687</v>
      </c>
      <c r="B862" s="44" t="s">
        <v>890</v>
      </c>
      <c r="C862" s="43" t="s">
        <v>52</v>
      </c>
      <c r="D862" s="43" t="s">
        <v>54</v>
      </c>
      <c r="E862" s="43" t="s">
        <v>566</v>
      </c>
      <c r="F862" s="43"/>
      <c r="G862" s="59">
        <f t="shared" si="117"/>
        <v>315.70000000000005</v>
      </c>
      <c r="H862" s="59">
        <f t="shared" si="117"/>
        <v>320.40000000000003</v>
      </c>
      <c r="I862" s="59">
        <f t="shared" si="117"/>
        <v>332.6</v>
      </c>
    </row>
    <row r="863" spans="1:9" ht="78.75">
      <c r="A863" s="87" t="s">
        <v>679</v>
      </c>
      <c r="B863" s="44" t="s">
        <v>890</v>
      </c>
      <c r="C863" s="43" t="s">
        <v>52</v>
      </c>
      <c r="D863" s="43" t="s">
        <v>54</v>
      </c>
      <c r="E863" s="43" t="s">
        <v>680</v>
      </c>
      <c r="F863" s="43"/>
      <c r="G863" s="59">
        <f aca="true" t="shared" si="118" ref="G863:I865">G864</f>
        <v>315.70000000000005</v>
      </c>
      <c r="H863" s="59">
        <f t="shared" si="118"/>
        <v>320.40000000000003</v>
      </c>
      <c r="I863" s="59">
        <f t="shared" si="118"/>
        <v>332.6</v>
      </c>
    </row>
    <row r="864" spans="1:9" s="1" customFormat="1" ht="78.75">
      <c r="A864" s="40" t="s">
        <v>681</v>
      </c>
      <c r="B864" s="44" t="s">
        <v>890</v>
      </c>
      <c r="C864" s="43" t="s">
        <v>52</v>
      </c>
      <c r="D864" s="43" t="s">
        <v>54</v>
      </c>
      <c r="E864" s="43" t="s">
        <v>682</v>
      </c>
      <c r="F864" s="43"/>
      <c r="G864" s="45">
        <f t="shared" si="118"/>
        <v>315.70000000000005</v>
      </c>
      <c r="H864" s="45">
        <f t="shared" si="118"/>
        <v>320.40000000000003</v>
      </c>
      <c r="I864" s="45">
        <f t="shared" si="118"/>
        <v>332.6</v>
      </c>
    </row>
    <row r="865" spans="1:9" s="1" customFormat="1" ht="68.25" customHeight="1">
      <c r="A865" s="40" t="s">
        <v>960</v>
      </c>
      <c r="B865" s="44" t="s">
        <v>890</v>
      </c>
      <c r="C865" s="43" t="s">
        <v>52</v>
      </c>
      <c r="D865" s="43" t="s">
        <v>54</v>
      </c>
      <c r="E865" s="43" t="s">
        <v>685</v>
      </c>
      <c r="F865" s="43"/>
      <c r="G865" s="45">
        <f t="shared" si="118"/>
        <v>315.70000000000005</v>
      </c>
      <c r="H865" s="45">
        <f t="shared" si="118"/>
        <v>320.40000000000003</v>
      </c>
      <c r="I865" s="45">
        <f t="shared" si="118"/>
        <v>332.6</v>
      </c>
    </row>
    <row r="866" spans="1:9" ht="47.25">
      <c r="A866" s="40" t="s">
        <v>96</v>
      </c>
      <c r="B866" s="44" t="s">
        <v>890</v>
      </c>
      <c r="C866" s="43" t="s">
        <v>52</v>
      </c>
      <c r="D866" s="43" t="s">
        <v>54</v>
      </c>
      <c r="E866" s="43" t="s">
        <v>685</v>
      </c>
      <c r="F866" s="43" t="s">
        <v>97</v>
      </c>
      <c r="G866" s="45">
        <f>305.6+10.1</f>
        <v>315.70000000000005</v>
      </c>
      <c r="H866" s="45">
        <f>305.6+14.8</f>
        <v>320.40000000000003</v>
      </c>
      <c r="I866" s="45">
        <f>305.6+27</f>
        <v>332.6</v>
      </c>
    </row>
    <row r="867" spans="1:9" ht="31.5">
      <c r="A867" s="55" t="s">
        <v>64</v>
      </c>
      <c r="B867" s="44" t="s">
        <v>890</v>
      </c>
      <c r="C867" s="44" t="s">
        <v>54</v>
      </c>
      <c r="D867" s="181"/>
      <c r="E867" s="181"/>
      <c r="F867" s="181"/>
      <c r="G867" s="47">
        <f>G878+G868</f>
        <v>602.8</v>
      </c>
      <c r="H867" s="47">
        <f>H878+H868</f>
        <v>601.1</v>
      </c>
      <c r="I867" s="47">
        <f>I878+I868</f>
        <v>601.1</v>
      </c>
    </row>
    <row r="868" spans="1:9" ht="63">
      <c r="A868" s="40" t="s">
        <v>507</v>
      </c>
      <c r="B868" s="44" t="s">
        <v>890</v>
      </c>
      <c r="C868" s="43" t="s">
        <v>54</v>
      </c>
      <c r="D868" s="43" t="s">
        <v>86</v>
      </c>
      <c r="E868" s="43"/>
      <c r="F868" s="43"/>
      <c r="G868" s="59">
        <f>G869</f>
        <v>485</v>
      </c>
      <c r="H868" s="59">
        <f>H869</f>
        <v>485</v>
      </c>
      <c r="I868" s="59">
        <f>I869</f>
        <v>485</v>
      </c>
    </row>
    <row r="869" spans="1:9" ht="173.25">
      <c r="A869" s="40" t="s">
        <v>799</v>
      </c>
      <c r="B869" s="44" t="s">
        <v>890</v>
      </c>
      <c r="C869" s="43" t="s">
        <v>54</v>
      </c>
      <c r="D869" s="43" t="s">
        <v>86</v>
      </c>
      <c r="E869" s="43" t="s">
        <v>564</v>
      </c>
      <c r="F869" s="74"/>
      <c r="G869" s="94">
        <f aca="true" t="shared" si="119" ref="G869:I871">G870</f>
        <v>485</v>
      </c>
      <c r="H869" s="94">
        <f t="shared" si="119"/>
        <v>485</v>
      </c>
      <c r="I869" s="94">
        <f t="shared" si="119"/>
        <v>485</v>
      </c>
    </row>
    <row r="870" spans="1:9" ht="126">
      <c r="A870" s="40" t="s">
        <v>824</v>
      </c>
      <c r="B870" s="44" t="s">
        <v>890</v>
      </c>
      <c r="C870" s="43" t="s">
        <v>54</v>
      </c>
      <c r="D870" s="43" t="s">
        <v>86</v>
      </c>
      <c r="E870" s="43" t="s">
        <v>800</v>
      </c>
      <c r="F870" s="74"/>
      <c r="G870" s="94">
        <f t="shared" si="119"/>
        <v>485</v>
      </c>
      <c r="H870" s="94">
        <f t="shared" si="119"/>
        <v>485</v>
      </c>
      <c r="I870" s="94">
        <f t="shared" si="119"/>
        <v>485</v>
      </c>
    </row>
    <row r="871" spans="1:9" ht="47.25">
      <c r="A871" s="40" t="s">
        <v>810</v>
      </c>
      <c r="B871" s="44" t="s">
        <v>890</v>
      </c>
      <c r="C871" s="43" t="s">
        <v>54</v>
      </c>
      <c r="D871" s="43" t="s">
        <v>86</v>
      </c>
      <c r="E871" s="43" t="s">
        <v>809</v>
      </c>
      <c r="F871" s="159"/>
      <c r="G871" s="47">
        <f>G872</f>
        <v>485</v>
      </c>
      <c r="H871" s="47">
        <f t="shared" si="119"/>
        <v>485</v>
      </c>
      <c r="I871" s="47">
        <f t="shared" si="119"/>
        <v>485</v>
      </c>
    </row>
    <row r="872" spans="1:9" ht="31.5">
      <c r="A872" s="124" t="s">
        <v>811</v>
      </c>
      <c r="B872" s="44" t="s">
        <v>890</v>
      </c>
      <c r="C872" s="43" t="s">
        <v>54</v>
      </c>
      <c r="D872" s="43" t="s">
        <v>86</v>
      </c>
      <c r="E872" s="43" t="s">
        <v>815</v>
      </c>
      <c r="F872" s="159"/>
      <c r="G872" s="47">
        <f>G873</f>
        <v>485</v>
      </c>
      <c r="H872" s="47">
        <f>H873</f>
        <v>485</v>
      </c>
      <c r="I872" s="47">
        <f>I873</f>
        <v>485</v>
      </c>
    </row>
    <row r="873" spans="1:9" ht="47.25">
      <c r="A873" s="124" t="s">
        <v>20</v>
      </c>
      <c r="B873" s="44" t="s">
        <v>890</v>
      </c>
      <c r="C873" s="43" t="s">
        <v>54</v>
      </c>
      <c r="D873" s="43" t="s">
        <v>86</v>
      </c>
      <c r="E873" s="43" t="s">
        <v>815</v>
      </c>
      <c r="F873" s="48">
        <v>240</v>
      </c>
      <c r="G873" s="47">
        <v>485</v>
      </c>
      <c r="H873" s="47">
        <v>485</v>
      </c>
      <c r="I873" s="47">
        <v>485</v>
      </c>
    </row>
    <row r="874" spans="1:18" s="200" customFormat="1" ht="31.5" hidden="1">
      <c r="A874" s="124" t="s">
        <v>421</v>
      </c>
      <c r="B874" s="44" t="s">
        <v>890</v>
      </c>
      <c r="C874" s="43" t="s">
        <v>54</v>
      </c>
      <c r="D874" s="43" t="s">
        <v>86</v>
      </c>
      <c r="E874" s="43" t="s">
        <v>817</v>
      </c>
      <c r="F874" s="48"/>
      <c r="G874" s="47">
        <f>G875</f>
        <v>0</v>
      </c>
      <c r="H874" s="47">
        <f>H875</f>
        <v>0</v>
      </c>
      <c r="I874" s="47">
        <f>I875</f>
        <v>0</v>
      </c>
      <c r="J874" s="31"/>
      <c r="K874" s="31"/>
      <c r="L874" s="31"/>
      <c r="M874" s="31"/>
      <c r="N874" s="31"/>
      <c r="O874" s="31"/>
      <c r="P874" s="31"/>
      <c r="Q874" s="31"/>
      <c r="R874" s="31"/>
    </row>
    <row r="875" spans="1:18" s="200" customFormat="1" ht="47.25" hidden="1">
      <c r="A875" s="124" t="s">
        <v>20</v>
      </c>
      <c r="B875" s="44" t="s">
        <v>890</v>
      </c>
      <c r="C875" s="43" t="s">
        <v>54</v>
      </c>
      <c r="D875" s="43" t="s">
        <v>86</v>
      </c>
      <c r="E875" s="43" t="s">
        <v>817</v>
      </c>
      <c r="F875" s="48">
        <v>240</v>
      </c>
      <c r="G875" s="47">
        <v>0</v>
      </c>
      <c r="H875" s="47">
        <v>0</v>
      </c>
      <c r="I875" s="47">
        <v>0</v>
      </c>
      <c r="J875" s="31"/>
      <c r="K875" s="31"/>
      <c r="L875" s="31"/>
      <c r="M875" s="31"/>
      <c r="N875" s="31"/>
      <c r="O875" s="31"/>
      <c r="P875" s="31"/>
      <c r="Q875" s="31"/>
      <c r="R875" s="31"/>
    </row>
    <row r="876" spans="1:18" s="200" customFormat="1" ht="63" hidden="1">
      <c r="A876" s="124" t="s">
        <v>422</v>
      </c>
      <c r="B876" s="44" t="s">
        <v>890</v>
      </c>
      <c r="C876" s="43" t="s">
        <v>54</v>
      </c>
      <c r="D876" s="43" t="s">
        <v>86</v>
      </c>
      <c r="E876" s="43" t="s">
        <v>818</v>
      </c>
      <c r="F876" s="48"/>
      <c r="G876" s="47">
        <f>G877</f>
        <v>0</v>
      </c>
      <c r="H876" s="47">
        <f>H877</f>
        <v>0</v>
      </c>
      <c r="I876" s="47">
        <f>I877</f>
        <v>0</v>
      </c>
      <c r="J876" s="31"/>
      <c r="K876" s="31"/>
      <c r="L876" s="31"/>
      <c r="M876" s="31"/>
      <c r="N876" s="31"/>
      <c r="O876" s="31"/>
      <c r="P876" s="31"/>
      <c r="Q876" s="31"/>
      <c r="R876" s="31"/>
    </row>
    <row r="877" spans="1:18" s="200" customFormat="1" ht="47.25" hidden="1">
      <c r="A877" s="124" t="s">
        <v>20</v>
      </c>
      <c r="B877" s="44" t="s">
        <v>890</v>
      </c>
      <c r="C877" s="43" t="s">
        <v>54</v>
      </c>
      <c r="D877" s="43" t="s">
        <v>86</v>
      </c>
      <c r="E877" s="43" t="s">
        <v>818</v>
      </c>
      <c r="F877" s="48">
        <v>240</v>
      </c>
      <c r="G877" s="47">
        <v>0</v>
      </c>
      <c r="H877" s="47">
        <v>0</v>
      </c>
      <c r="I877" s="47">
        <v>0</v>
      </c>
      <c r="J877" s="31"/>
      <c r="K877" s="31"/>
      <c r="L877" s="31"/>
      <c r="M877" s="31"/>
      <c r="N877" s="31"/>
      <c r="O877" s="31"/>
      <c r="P877" s="31"/>
      <c r="Q877" s="31"/>
      <c r="R877" s="31"/>
    </row>
    <row r="878" spans="1:9" ht="35.25" customHeight="1">
      <c r="A878" s="25" t="s">
        <v>66</v>
      </c>
      <c r="B878" s="44" t="s">
        <v>890</v>
      </c>
      <c r="C878" s="44" t="s">
        <v>54</v>
      </c>
      <c r="D878" s="44">
        <v>14</v>
      </c>
      <c r="E878" s="181"/>
      <c r="F878" s="181"/>
      <c r="G878" s="47">
        <f>G879</f>
        <v>117.8</v>
      </c>
      <c r="H878" s="47">
        <f>H879</f>
        <v>116.1</v>
      </c>
      <c r="I878" s="47">
        <f>I879</f>
        <v>116.1</v>
      </c>
    </row>
    <row r="879" spans="1:9" ht="94.5">
      <c r="A879" s="40" t="s">
        <v>751</v>
      </c>
      <c r="B879" s="44" t="s">
        <v>890</v>
      </c>
      <c r="C879" s="44" t="s">
        <v>54</v>
      </c>
      <c r="D879" s="44">
        <v>14</v>
      </c>
      <c r="E879" s="43" t="s">
        <v>375</v>
      </c>
      <c r="F879" s="48"/>
      <c r="G879" s="47">
        <f aca="true" t="shared" si="120" ref="G879:I882">G880</f>
        <v>117.8</v>
      </c>
      <c r="H879" s="47">
        <f t="shared" si="120"/>
        <v>116.1</v>
      </c>
      <c r="I879" s="47">
        <f t="shared" si="120"/>
        <v>116.1</v>
      </c>
    </row>
    <row r="880" spans="1:9" ht="63">
      <c r="A880" s="40" t="s">
        <v>755</v>
      </c>
      <c r="B880" s="44" t="s">
        <v>890</v>
      </c>
      <c r="C880" s="44" t="s">
        <v>54</v>
      </c>
      <c r="D880" s="44">
        <v>14</v>
      </c>
      <c r="E880" s="43" t="s">
        <v>261</v>
      </c>
      <c r="F880" s="48"/>
      <c r="G880" s="47">
        <f t="shared" si="120"/>
        <v>117.8</v>
      </c>
      <c r="H880" s="47">
        <f t="shared" si="120"/>
        <v>116.1</v>
      </c>
      <c r="I880" s="47">
        <f t="shared" si="120"/>
        <v>116.1</v>
      </c>
    </row>
    <row r="881" spans="1:9" ht="63">
      <c r="A881" s="40" t="s">
        <v>762</v>
      </c>
      <c r="B881" s="44" t="s">
        <v>890</v>
      </c>
      <c r="C881" s="44" t="s">
        <v>54</v>
      </c>
      <c r="D881" s="44">
        <v>14</v>
      </c>
      <c r="E881" s="43" t="s">
        <v>761</v>
      </c>
      <c r="F881" s="43"/>
      <c r="G881" s="45">
        <f t="shared" si="120"/>
        <v>117.8</v>
      </c>
      <c r="H881" s="45">
        <f t="shared" si="120"/>
        <v>116.1</v>
      </c>
      <c r="I881" s="45">
        <f t="shared" si="120"/>
        <v>116.1</v>
      </c>
    </row>
    <row r="882" spans="1:9" ht="66.75" customHeight="1">
      <c r="A882" s="40" t="s">
        <v>764</v>
      </c>
      <c r="B882" s="44" t="s">
        <v>890</v>
      </c>
      <c r="C882" s="44" t="s">
        <v>54</v>
      </c>
      <c r="D882" s="44">
        <v>14</v>
      </c>
      <c r="E882" s="43" t="s">
        <v>763</v>
      </c>
      <c r="F882" s="43"/>
      <c r="G882" s="45">
        <f t="shared" si="120"/>
        <v>117.8</v>
      </c>
      <c r="H882" s="45">
        <f t="shared" si="120"/>
        <v>116.1</v>
      </c>
      <c r="I882" s="45">
        <f t="shared" si="120"/>
        <v>116.1</v>
      </c>
    </row>
    <row r="883" spans="1:9" ht="47.25">
      <c r="A883" s="40" t="s">
        <v>20</v>
      </c>
      <c r="B883" s="44" t="s">
        <v>890</v>
      </c>
      <c r="C883" s="44" t="s">
        <v>54</v>
      </c>
      <c r="D883" s="44">
        <v>14</v>
      </c>
      <c r="E883" s="43" t="s">
        <v>763</v>
      </c>
      <c r="F883" s="43" t="s">
        <v>100</v>
      </c>
      <c r="G883" s="45">
        <v>117.8</v>
      </c>
      <c r="H883" s="45">
        <f>110.3+5.8</f>
        <v>116.1</v>
      </c>
      <c r="I883" s="45">
        <f>110.3+5.8</f>
        <v>116.1</v>
      </c>
    </row>
    <row r="884" spans="1:9" ht="15.75">
      <c r="A884" s="25" t="s">
        <v>68</v>
      </c>
      <c r="B884" s="44" t="s">
        <v>890</v>
      </c>
      <c r="C884" s="43" t="s">
        <v>56</v>
      </c>
      <c r="D884" s="181"/>
      <c r="E884" s="181"/>
      <c r="F884" s="181"/>
      <c r="G884" s="59">
        <f>G886</f>
        <v>12212</v>
      </c>
      <c r="H884" s="59">
        <f>H886</f>
        <v>6370.7</v>
      </c>
      <c r="I884" s="59">
        <f>I886</f>
        <v>6370.7</v>
      </c>
    </row>
    <row r="885" spans="1:9" ht="15.75">
      <c r="A885" s="7" t="s">
        <v>70</v>
      </c>
      <c r="B885" s="44" t="s">
        <v>890</v>
      </c>
      <c r="C885" s="43" t="s">
        <v>56</v>
      </c>
      <c r="D885" s="43" t="s">
        <v>65</v>
      </c>
      <c r="E885" s="181"/>
      <c r="F885" s="181"/>
      <c r="G885" s="59">
        <f aca="true" t="shared" si="121" ref="G885:I886">G886</f>
        <v>12212</v>
      </c>
      <c r="H885" s="59">
        <f t="shared" si="121"/>
        <v>6370.7</v>
      </c>
      <c r="I885" s="59">
        <f t="shared" si="121"/>
        <v>6370.7</v>
      </c>
    </row>
    <row r="886" spans="1:9" ht="78.75">
      <c r="A886" s="40" t="s">
        <v>745</v>
      </c>
      <c r="B886" s="44" t="s">
        <v>890</v>
      </c>
      <c r="C886" s="43" t="s">
        <v>56</v>
      </c>
      <c r="D886" s="43" t="s">
        <v>65</v>
      </c>
      <c r="E886" s="43" t="s">
        <v>134</v>
      </c>
      <c r="F886" s="43"/>
      <c r="G886" s="59">
        <f t="shared" si="121"/>
        <v>12212</v>
      </c>
      <c r="H886" s="59">
        <f t="shared" si="121"/>
        <v>6370.7</v>
      </c>
      <c r="I886" s="59">
        <f t="shared" si="121"/>
        <v>6370.7</v>
      </c>
    </row>
    <row r="887" spans="1:9" ht="78.75">
      <c r="A887" s="40" t="s">
        <v>750</v>
      </c>
      <c r="B887" s="44" t="s">
        <v>890</v>
      </c>
      <c r="C887" s="43" t="s">
        <v>56</v>
      </c>
      <c r="D887" s="43" t="s">
        <v>65</v>
      </c>
      <c r="E887" s="43" t="s">
        <v>319</v>
      </c>
      <c r="F887" s="43"/>
      <c r="G887" s="59">
        <f>G888+G893</f>
        <v>12212</v>
      </c>
      <c r="H887" s="59">
        <f>H888+H893</f>
        <v>6370.7</v>
      </c>
      <c r="I887" s="59">
        <f>I888+I893</f>
        <v>6370.7</v>
      </c>
    </row>
    <row r="888" spans="1:9" ht="47.25">
      <c r="A888" s="40" t="s">
        <v>135</v>
      </c>
      <c r="B888" s="44" t="s">
        <v>890</v>
      </c>
      <c r="C888" s="43" t="s">
        <v>56</v>
      </c>
      <c r="D888" s="43" t="s">
        <v>65</v>
      </c>
      <c r="E888" s="43" t="s">
        <v>320</v>
      </c>
      <c r="F888" s="43"/>
      <c r="G888" s="59">
        <f>G891+G889</f>
        <v>12212</v>
      </c>
      <c r="H888" s="59">
        <f>H891+H889</f>
        <v>5704.2</v>
      </c>
      <c r="I888" s="59">
        <f>I891+I889</f>
        <v>5704.2</v>
      </c>
    </row>
    <row r="889" spans="1:9" ht="108.75" customHeight="1">
      <c r="A889" s="40" t="s">
        <v>487</v>
      </c>
      <c r="B889" s="44" t="s">
        <v>890</v>
      </c>
      <c r="C889" s="43" t="s">
        <v>56</v>
      </c>
      <c r="D889" s="43" t="s">
        <v>65</v>
      </c>
      <c r="E889" s="43" t="s">
        <v>321</v>
      </c>
      <c r="F889" s="43"/>
      <c r="G889" s="94">
        <f>G890</f>
        <v>5761.5</v>
      </c>
      <c r="H889" s="94">
        <f>H890</f>
        <v>5704.2</v>
      </c>
      <c r="I889" s="94">
        <f>I890</f>
        <v>5704.2</v>
      </c>
    </row>
    <row r="890" spans="1:9" ht="57" customHeight="1">
      <c r="A890" s="40" t="s">
        <v>20</v>
      </c>
      <c r="B890" s="44" t="s">
        <v>890</v>
      </c>
      <c r="C890" s="43" t="s">
        <v>56</v>
      </c>
      <c r="D890" s="43" t="s">
        <v>65</v>
      </c>
      <c r="E890" s="43" t="s">
        <v>321</v>
      </c>
      <c r="F890" s="43" t="s">
        <v>100</v>
      </c>
      <c r="G890" s="94">
        <v>5761.5</v>
      </c>
      <c r="H890" s="94">
        <f>4800+904.2</f>
        <v>5704.2</v>
      </c>
      <c r="I890" s="94">
        <f>4800+904.2</f>
        <v>5704.2</v>
      </c>
    </row>
    <row r="891" spans="1:9" ht="47.25">
      <c r="A891" s="124" t="s">
        <v>500</v>
      </c>
      <c r="B891" s="44" t="s">
        <v>890</v>
      </c>
      <c r="C891" s="43" t="s">
        <v>56</v>
      </c>
      <c r="D891" s="43" t="s">
        <v>65</v>
      </c>
      <c r="E891" s="43" t="s">
        <v>403</v>
      </c>
      <c r="F891" s="43"/>
      <c r="G891" s="94">
        <f>G892</f>
        <v>6450.5</v>
      </c>
      <c r="H891" s="94">
        <f>H892</f>
        <v>0</v>
      </c>
      <c r="I891" s="94">
        <f>I892</f>
        <v>0</v>
      </c>
    </row>
    <row r="892" spans="1:9" ht="47.25">
      <c r="A892" s="40" t="s">
        <v>20</v>
      </c>
      <c r="B892" s="44" t="s">
        <v>890</v>
      </c>
      <c r="C892" s="43" t="s">
        <v>56</v>
      </c>
      <c r="D892" s="43" t="s">
        <v>65</v>
      </c>
      <c r="E892" s="43" t="s">
        <v>403</v>
      </c>
      <c r="F892" s="43" t="s">
        <v>100</v>
      </c>
      <c r="G892" s="59">
        <v>6450.5</v>
      </c>
      <c r="H892" s="45">
        <v>0</v>
      </c>
      <c r="I892" s="45">
        <v>0</v>
      </c>
    </row>
    <row r="893" spans="1:9" ht="63">
      <c r="A893" s="124" t="s">
        <v>594</v>
      </c>
      <c r="B893" s="44" t="s">
        <v>890</v>
      </c>
      <c r="C893" s="43" t="s">
        <v>56</v>
      </c>
      <c r="D893" s="43" t="s">
        <v>65</v>
      </c>
      <c r="E893" s="43" t="s">
        <v>595</v>
      </c>
      <c r="F893" s="43"/>
      <c r="G893" s="59">
        <f aca="true" t="shared" si="122" ref="G893:I894">G894</f>
        <v>0</v>
      </c>
      <c r="H893" s="59">
        <f t="shared" si="122"/>
        <v>666.5</v>
      </c>
      <c r="I893" s="59">
        <f t="shared" si="122"/>
        <v>666.5</v>
      </c>
    </row>
    <row r="894" spans="1:9" ht="94.5">
      <c r="A894" s="124" t="s">
        <v>553</v>
      </c>
      <c r="B894" s="44" t="s">
        <v>890</v>
      </c>
      <c r="C894" s="43" t="s">
        <v>56</v>
      </c>
      <c r="D894" s="43" t="s">
        <v>65</v>
      </c>
      <c r="E894" s="43" t="s">
        <v>596</v>
      </c>
      <c r="F894" s="43"/>
      <c r="G894" s="59">
        <f t="shared" si="122"/>
        <v>0</v>
      </c>
      <c r="H894" s="59">
        <f t="shared" si="122"/>
        <v>666.5</v>
      </c>
      <c r="I894" s="59">
        <f t="shared" si="122"/>
        <v>666.5</v>
      </c>
    </row>
    <row r="895" spans="1:9" ht="47.25">
      <c r="A895" s="40" t="s">
        <v>20</v>
      </c>
      <c r="B895" s="44" t="s">
        <v>890</v>
      </c>
      <c r="C895" s="43" t="s">
        <v>56</v>
      </c>
      <c r="D895" s="43" t="s">
        <v>65</v>
      </c>
      <c r="E895" s="43" t="s">
        <v>596</v>
      </c>
      <c r="F895" s="43" t="s">
        <v>100</v>
      </c>
      <c r="G895" s="59">
        <v>0</v>
      </c>
      <c r="H895" s="59">
        <f>659.8+6.7</f>
        <v>666.5</v>
      </c>
      <c r="I895" s="59">
        <f>659.8+6.7</f>
        <v>666.5</v>
      </c>
    </row>
    <row r="896" spans="1:9" ht="15.75">
      <c r="A896" s="7" t="s">
        <v>73</v>
      </c>
      <c r="B896" s="44" t="s">
        <v>890</v>
      </c>
      <c r="C896" s="43" t="s">
        <v>69</v>
      </c>
      <c r="D896" s="43"/>
      <c r="E896" s="43"/>
      <c r="F896" s="74"/>
      <c r="G896" s="59">
        <f>G912+G948+G907+G897</f>
        <v>10958.7</v>
      </c>
      <c r="H896" s="59">
        <f>H912+H948+H907</f>
        <v>7975.3</v>
      </c>
      <c r="I896" s="59">
        <f>I912+I948+I907</f>
        <v>6346.3</v>
      </c>
    </row>
    <row r="897" spans="1:9" ht="15.75">
      <c r="A897" s="7" t="s">
        <v>74</v>
      </c>
      <c r="B897" s="44" t="s">
        <v>890</v>
      </c>
      <c r="C897" s="43" t="s">
        <v>69</v>
      </c>
      <c r="D897" s="43" t="s">
        <v>51</v>
      </c>
      <c r="E897" s="43"/>
      <c r="F897" s="74"/>
      <c r="G897" s="59">
        <f>G898</f>
        <v>64.39999999999999</v>
      </c>
      <c r="H897" s="59">
        <f>H898</f>
        <v>0</v>
      </c>
      <c r="I897" s="59">
        <f>I898</f>
        <v>0</v>
      </c>
    </row>
    <row r="898" spans="1:9" ht="94.5">
      <c r="A898" s="40" t="s">
        <v>825</v>
      </c>
      <c r="B898" s="43" t="s">
        <v>890</v>
      </c>
      <c r="C898" s="43" t="s">
        <v>69</v>
      </c>
      <c r="D898" s="43" t="s">
        <v>51</v>
      </c>
      <c r="E898" s="43" t="s">
        <v>334</v>
      </c>
      <c r="F898" s="43"/>
      <c r="G898" s="94">
        <f>G899+G903</f>
        <v>64.39999999999999</v>
      </c>
      <c r="H898" s="94">
        <f>H899+H903</f>
        <v>0</v>
      </c>
      <c r="I898" s="94">
        <f>I899+I903</f>
        <v>0</v>
      </c>
    </row>
    <row r="899" spans="1:9" ht="47.25">
      <c r="A899" s="40" t="s">
        <v>826</v>
      </c>
      <c r="B899" s="43" t="s">
        <v>890</v>
      </c>
      <c r="C899" s="43" t="s">
        <v>69</v>
      </c>
      <c r="D899" s="43" t="s">
        <v>51</v>
      </c>
      <c r="E899" s="43" t="s">
        <v>335</v>
      </c>
      <c r="F899" s="43"/>
      <c r="G899" s="94">
        <f>G900</f>
        <v>62.3</v>
      </c>
      <c r="H899" s="45">
        <f aca="true" t="shared" si="123" ref="G899:I901">H900</f>
        <v>0</v>
      </c>
      <c r="I899" s="45">
        <f t="shared" si="123"/>
        <v>0</v>
      </c>
    </row>
    <row r="900" spans="1:9" ht="47.25">
      <c r="A900" s="40" t="s">
        <v>333</v>
      </c>
      <c r="B900" s="43" t="s">
        <v>890</v>
      </c>
      <c r="C900" s="43" t="s">
        <v>69</v>
      </c>
      <c r="D900" s="43" t="s">
        <v>51</v>
      </c>
      <c r="E900" s="43" t="s">
        <v>340</v>
      </c>
      <c r="F900" s="43"/>
      <c r="G900" s="94">
        <f t="shared" si="123"/>
        <v>62.3</v>
      </c>
      <c r="H900" s="45">
        <f t="shared" si="123"/>
        <v>0</v>
      </c>
      <c r="I900" s="45">
        <f t="shared" si="123"/>
        <v>0</v>
      </c>
    </row>
    <row r="901" spans="1:9" ht="47.25">
      <c r="A901" s="40" t="s">
        <v>829</v>
      </c>
      <c r="B901" s="43" t="s">
        <v>890</v>
      </c>
      <c r="C901" s="43" t="s">
        <v>69</v>
      </c>
      <c r="D901" s="43" t="s">
        <v>51</v>
      </c>
      <c r="E901" s="43" t="s">
        <v>341</v>
      </c>
      <c r="F901" s="43"/>
      <c r="G901" s="94">
        <f>G902</f>
        <v>62.3</v>
      </c>
      <c r="H901" s="94">
        <f t="shared" si="123"/>
        <v>0</v>
      </c>
      <c r="I901" s="94">
        <f t="shared" si="123"/>
        <v>0</v>
      </c>
    </row>
    <row r="902" spans="1:9" ht="47.25">
      <c r="A902" s="40" t="s">
        <v>20</v>
      </c>
      <c r="B902" s="43" t="s">
        <v>890</v>
      </c>
      <c r="C902" s="43" t="s">
        <v>69</v>
      </c>
      <c r="D902" s="43" t="s">
        <v>51</v>
      </c>
      <c r="E902" s="43" t="s">
        <v>341</v>
      </c>
      <c r="F902" s="43" t="s">
        <v>100</v>
      </c>
      <c r="G902" s="94">
        <v>62.3</v>
      </c>
      <c r="H902" s="94">
        <v>0</v>
      </c>
      <c r="I902" s="94">
        <v>0</v>
      </c>
    </row>
    <row r="903" spans="1:9" ht="173.25">
      <c r="A903" s="40" t="s">
        <v>830</v>
      </c>
      <c r="B903" s="43" t="s">
        <v>890</v>
      </c>
      <c r="C903" s="43" t="s">
        <v>69</v>
      </c>
      <c r="D903" s="43" t="s">
        <v>51</v>
      </c>
      <c r="E903" s="43" t="s">
        <v>342</v>
      </c>
      <c r="F903" s="43"/>
      <c r="G903" s="94">
        <f>G904</f>
        <v>2.1</v>
      </c>
      <c r="H903" s="94">
        <f>H904</f>
        <v>0</v>
      </c>
      <c r="I903" s="94">
        <f>I904</f>
        <v>0</v>
      </c>
    </row>
    <row r="904" spans="1:9" ht="78.75">
      <c r="A904" s="40" t="s">
        <v>832</v>
      </c>
      <c r="B904" s="43" t="s">
        <v>890</v>
      </c>
      <c r="C904" s="43" t="s">
        <v>69</v>
      </c>
      <c r="D904" s="43" t="s">
        <v>51</v>
      </c>
      <c r="E904" s="43" t="s">
        <v>515</v>
      </c>
      <c r="F904" s="43"/>
      <c r="G904" s="94">
        <f aca="true" t="shared" si="124" ref="G904:I905">G905</f>
        <v>2.1</v>
      </c>
      <c r="H904" s="45">
        <f t="shared" si="124"/>
        <v>0</v>
      </c>
      <c r="I904" s="45">
        <f t="shared" si="124"/>
        <v>0</v>
      </c>
    </row>
    <row r="905" spans="1:9" ht="47.25">
      <c r="A905" s="40" t="s">
        <v>224</v>
      </c>
      <c r="B905" s="43" t="s">
        <v>890</v>
      </c>
      <c r="C905" s="43" t="s">
        <v>69</v>
      </c>
      <c r="D905" s="43" t="s">
        <v>51</v>
      </c>
      <c r="E905" s="43" t="s">
        <v>516</v>
      </c>
      <c r="F905" s="43"/>
      <c r="G905" s="94">
        <f t="shared" si="124"/>
        <v>2.1</v>
      </c>
      <c r="H905" s="45">
        <f t="shared" si="124"/>
        <v>0</v>
      </c>
      <c r="I905" s="45">
        <f t="shared" si="124"/>
        <v>0</v>
      </c>
    </row>
    <row r="906" spans="1:9" ht="47.25">
      <c r="A906" s="40" t="s">
        <v>20</v>
      </c>
      <c r="B906" s="43" t="s">
        <v>890</v>
      </c>
      <c r="C906" s="43" t="s">
        <v>69</v>
      </c>
      <c r="D906" s="43" t="s">
        <v>51</v>
      </c>
      <c r="E906" s="43" t="s">
        <v>516</v>
      </c>
      <c r="F906" s="43" t="s">
        <v>100</v>
      </c>
      <c r="G906" s="94">
        <v>2.1</v>
      </c>
      <c r="H906" s="94">
        <v>0</v>
      </c>
      <c r="I906" s="94">
        <v>0</v>
      </c>
    </row>
    <row r="907" spans="1:9" ht="15.75">
      <c r="A907" s="25" t="s">
        <v>208</v>
      </c>
      <c r="B907" s="44" t="s">
        <v>890</v>
      </c>
      <c r="C907" s="43" t="s">
        <v>69</v>
      </c>
      <c r="D907" s="43" t="s">
        <v>52</v>
      </c>
      <c r="E907" s="43"/>
      <c r="F907" s="74"/>
      <c r="G907" s="59">
        <f aca="true" t="shared" si="125" ref="G907:I908">G908</f>
        <v>1107.6</v>
      </c>
      <c r="H907" s="59">
        <f t="shared" si="125"/>
        <v>2000</v>
      </c>
      <c r="I907" s="59">
        <f t="shared" si="125"/>
        <v>371</v>
      </c>
    </row>
    <row r="908" spans="1:9" ht="97.5" customHeight="1">
      <c r="A908" s="182" t="s">
        <v>892</v>
      </c>
      <c r="B908" s="183" t="s">
        <v>890</v>
      </c>
      <c r="C908" s="155" t="s">
        <v>69</v>
      </c>
      <c r="D908" s="155" t="s">
        <v>52</v>
      </c>
      <c r="E908" s="155" t="s">
        <v>377</v>
      </c>
      <c r="F908" s="184"/>
      <c r="G908" s="59">
        <f t="shared" si="125"/>
        <v>1107.6</v>
      </c>
      <c r="H908" s="59">
        <f t="shared" si="125"/>
        <v>2000</v>
      </c>
      <c r="I908" s="59">
        <f t="shared" si="125"/>
        <v>371</v>
      </c>
    </row>
    <row r="909" spans="1:9" ht="31.5">
      <c r="A909" s="40" t="s">
        <v>928</v>
      </c>
      <c r="B909" s="44" t="s">
        <v>890</v>
      </c>
      <c r="C909" s="43" t="s">
        <v>69</v>
      </c>
      <c r="D909" s="43" t="s">
        <v>52</v>
      </c>
      <c r="E909" s="43" t="s">
        <v>927</v>
      </c>
      <c r="F909" s="74"/>
      <c r="G909" s="45">
        <f aca="true" t="shared" si="126" ref="G909:I910">G910</f>
        <v>1107.6</v>
      </c>
      <c r="H909" s="45">
        <f t="shared" si="126"/>
        <v>2000</v>
      </c>
      <c r="I909" s="45">
        <f t="shared" si="126"/>
        <v>371</v>
      </c>
    </row>
    <row r="910" spans="1:9" ht="31.5">
      <c r="A910" s="40" t="s">
        <v>929</v>
      </c>
      <c r="B910" s="44" t="s">
        <v>890</v>
      </c>
      <c r="C910" s="43" t="s">
        <v>69</v>
      </c>
      <c r="D910" s="43" t="s">
        <v>52</v>
      </c>
      <c r="E910" s="43" t="s">
        <v>930</v>
      </c>
      <c r="F910" s="74"/>
      <c r="G910" s="45">
        <f>G911</f>
        <v>1107.6</v>
      </c>
      <c r="H910" s="45">
        <f t="shared" si="126"/>
        <v>2000</v>
      </c>
      <c r="I910" s="45">
        <f t="shared" si="126"/>
        <v>371</v>
      </c>
    </row>
    <row r="911" spans="1:9" ht="47.25">
      <c r="A911" s="40" t="s">
        <v>20</v>
      </c>
      <c r="B911" s="44" t="s">
        <v>890</v>
      </c>
      <c r="C911" s="43" t="s">
        <v>69</v>
      </c>
      <c r="D911" s="43" t="s">
        <v>52</v>
      </c>
      <c r="E911" s="43" t="s">
        <v>930</v>
      </c>
      <c r="F911" s="74" t="s">
        <v>100</v>
      </c>
      <c r="G911" s="94">
        <v>1107.6</v>
      </c>
      <c r="H911" s="94">
        <f>1500+500</f>
        <v>2000</v>
      </c>
      <c r="I911" s="94">
        <f>1500-500-629</f>
        <v>371</v>
      </c>
    </row>
    <row r="912" spans="1:9" ht="15.75">
      <c r="A912" s="55" t="s">
        <v>397</v>
      </c>
      <c r="B912" s="44" t="s">
        <v>890</v>
      </c>
      <c r="C912" s="43" t="s">
        <v>69</v>
      </c>
      <c r="D912" s="43" t="s">
        <v>54</v>
      </c>
      <c r="E912" s="43"/>
      <c r="F912" s="74"/>
      <c r="G912" s="59">
        <f>G913+G921</f>
        <v>9415.900000000001</v>
      </c>
      <c r="H912" s="59">
        <f>H913+H921</f>
        <v>5805.3</v>
      </c>
      <c r="I912" s="59">
        <f>I913+I921</f>
        <v>5805.3</v>
      </c>
    </row>
    <row r="913" spans="1:9" ht="106.5" customHeight="1">
      <c r="A913" s="25" t="s">
        <v>892</v>
      </c>
      <c r="B913" s="44" t="s">
        <v>890</v>
      </c>
      <c r="C913" s="43" t="s">
        <v>69</v>
      </c>
      <c r="D913" s="43" t="s">
        <v>54</v>
      </c>
      <c r="E913" s="43" t="s">
        <v>377</v>
      </c>
      <c r="F913" s="74"/>
      <c r="G913" s="59">
        <f>G914</f>
        <v>7210.900000000001</v>
      </c>
      <c r="H913" s="59">
        <f>H914</f>
        <v>4685.3</v>
      </c>
      <c r="I913" s="59">
        <f>I914</f>
        <v>4685.3</v>
      </c>
    </row>
    <row r="914" spans="1:9" ht="63">
      <c r="A914" s="182" t="s">
        <v>1018</v>
      </c>
      <c r="B914" s="183" t="s">
        <v>890</v>
      </c>
      <c r="C914" s="155" t="s">
        <v>69</v>
      </c>
      <c r="D914" s="155" t="s">
        <v>54</v>
      </c>
      <c r="E914" s="155" t="s">
        <v>897</v>
      </c>
      <c r="F914" s="184"/>
      <c r="G914" s="126">
        <f>G918+G915</f>
        <v>7210.900000000001</v>
      </c>
      <c r="H914" s="126">
        <f>H918+H915</f>
        <v>4685.3</v>
      </c>
      <c r="I914" s="126">
        <f>I918+I915</f>
        <v>4685.3</v>
      </c>
    </row>
    <row r="915" spans="1:9" ht="47.25">
      <c r="A915" s="55" t="s">
        <v>1024</v>
      </c>
      <c r="B915" s="183" t="s">
        <v>890</v>
      </c>
      <c r="C915" s="155" t="s">
        <v>69</v>
      </c>
      <c r="D915" s="155" t="s">
        <v>54</v>
      </c>
      <c r="E915" s="43" t="s">
        <v>1017</v>
      </c>
      <c r="F915" s="43"/>
      <c r="G915" s="45">
        <f>G916+G917</f>
        <v>1806</v>
      </c>
      <c r="H915" s="45"/>
      <c r="I915" s="45"/>
    </row>
    <row r="916" spans="1:9" ht="47.25">
      <c r="A916" s="40" t="s">
        <v>20</v>
      </c>
      <c r="B916" s="183" t="s">
        <v>890</v>
      </c>
      <c r="C916" s="155" t="s">
        <v>69</v>
      </c>
      <c r="D916" s="155" t="s">
        <v>54</v>
      </c>
      <c r="E916" s="43" t="s">
        <v>1017</v>
      </c>
      <c r="F916" s="43" t="s">
        <v>100</v>
      </c>
      <c r="G916" s="45">
        <v>706.7</v>
      </c>
      <c r="H916" s="45"/>
      <c r="I916" s="45"/>
    </row>
    <row r="917" spans="1:9" ht="15.75">
      <c r="A917" s="40" t="s">
        <v>420</v>
      </c>
      <c r="B917" s="183" t="s">
        <v>890</v>
      </c>
      <c r="C917" s="155" t="s">
        <v>69</v>
      </c>
      <c r="D917" s="155" t="s">
        <v>54</v>
      </c>
      <c r="E917" s="43" t="s">
        <v>1017</v>
      </c>
      <c r="F917" s="74" t="s">
        <v>419</v>
      </c>
      <c r="G917" s="45">
        <v>1099.3</v>
      </c>
      <c r="H917" s="45"/>
      <c r="I917" s="45"/>
    </row>
    <row r="918" spans="1:9" ht="15.75">
      <c r="A918" s="40" t="s">
        <v>894</v>
      </c>
      <c r="B918" s="44" t="s">
        <v>890</v>
      </c>
      <c r="C918" s="43" t="s">
        <v>69</v>
      </c>
      <c r="D918" s="43" t="s">
        <v>54</v>
      </c>
      <c r="E918" s="43" t="s">
        <v>898</v>
      </c>
      <c r="F918" s="74"/>
      <c r="G918" s="45">
        <f>G919+G920</f>
        <v>5404.900000000001</v>
      </c>
      <c r="H918" s="45">
        <f>H919+H920</f>
        <v>4685.3</v>
      </c>
      <c r="I918" s="45">
        <f>I919+I920</f>
        <v>4685.3</v>
      </c>
    </row>
    <row r="919" spans="1:9" ht="47.25">
      <c r="A919" s="40" t="s">
        <v>20</v>
      </c>
      <c r="B919" s="44" t="s">
        <v>890</v>
      </c>
      <c r="C919" s="43" t="s">
        <v>69</v>
      </c>
      <c r="D919" s="43" t="s">
        <v>54</v>
      </c>
      <c r="E919" s="43" t="s">
        <v>898</v>
      </c>
      <c r="F919" s="74" t="s">
        <v>100</v>
      </c>
      <c r="G919" s="94">
        <v>5404.6</v>
      </c>
      <c r="H919" s="94">
        <f>3514+1171.3</f>
        <v>4685.3</v>
      </c>
      <c r="I919" s="94">
        <f>3514+1171.3</f>
        <v>4685.3</v>
      </c>
    </row>
    <row r="920" spans="1:9" ht="39.75" customHeight="1">
      <c r="A920" s="40" t="s">
        <v>21</v>
      </c>
      <c r="B920" s="44" t="s">
        <v>890</v>
      </c>
      <c r="C920" s="43" t="s">
        <v>69</v>
      </c>
      <c r="D920" s="43" t="s">
        <v>54</v>
      </c>
      <c r="E920" s="43" t="s">
        <v>898</v>
      </c>
      <c r="F920" s="74" t="s">
        <v>101</v>
      </c>
      <c r="G920" s="94">
        <v>0.3</v>
      </c>
      <c r="H920" s="94"/>
      <c r="I920" s="94"/>
    </row>
    <row r="921" spans="1:9" ht="63">
      <c r="A921" s="37" t="s">
        <v>856</v>
      </c>
      <c r="B921" s="44" t="s">
        <v>890</v>
      </c>
      <c r="C921" s="43" t="s">
        <v>69</v>
      </c>
      <c r="D921" s="43" t="s">
        <v>54</v>
      </c>
      <c r="E921" s="43" t="s">
        <v>169</v>
      </c>
      <c r="F921" s="74"/>
      <c r="G921" s="45">
        <f>G922+G925+G928+G931+G934+G937+G940+G943</f>
        <v>2205</v>
      </c>
      <c r="H921" s="45">
        <f>H922+H925+H928+H931+H934+H937+H940+H943</f>
        <v>1120</v>
      </c>
      <c r="I921" s="45">
        <f>I922+I925+I928+I931+I934+I937+I940+I943</f>
        <v>1120</v>
      </c>
    </row>
    <row r="922" spans="1:9" ht="31.5">
      <c r="A922" s="37" t="s">
        <v>857</v>
      </c>
      <c r="B922" s="44" t="s">
        <v>890</v>
      </c>
      <c r="C922" s="43" t="s">
        <v>69</v>
      </c>
      <c r="D922" s="43" t="s">
        <v>54</v>
      </c>
      <c r="E922" s="43" t="s">
        <v>858</v>
      </c>
      <c r="F922" s="74"/>
      <c r="G922" s="45">
        <f aca="true" t="shared" si="127" ref="G922:I923">G923</f>
        <v>815</v>
      </c>
      <c r="H922" s="45">
        <f t="shared" si="127"/>
        <v>430</v>
      </c>
      <c r="I922" s="45">
        <f t="shared" si="127"/>
        <v>430</v>
      </c>
    </row>
    <row r="923" spans="1:9" ht="31.5">
      <c r="A923" s="40" t="s">
        <v>784</v>
      </c>
      <c r="B923" s="44" t="s">
        <v>890</v>
      </c>
      <c r="C923" s="43" t="s">
        <v>69</v>
      </c>
      <c r="D923" s="43" t="s">
        <v>54</v>
      </c>
      <c r="E923" s="43" t="s">
        <v>859</v>
      </c>
      <c r="F923" s="74"/>
      <c r="G923" s="45">
        <f t="shared" si="127"/>
        <v>815</v>
      </c>
      <c r="H923" s="45">
        <f t="shared" si="127"/>
        <v>430</v>
      </c>
      <c r="I923" s="45">
        <f t="shared" si="127"/>
        <v>430</v>
      </c>
    </row>
    <row r="924" spans="1:9" ht="47.25">
      <c r="A924" s="40" t="s">
        <v>20</v>
      </c>
      <c r="B924" s="44" t="s">
        <v>890</v>
      </c>
      <c r="C924" s="43" t="s">
        <v>69</v>
      </c>
      <c r="D924" s="43" t="s">
        <v>54</v>
      </c>
      <c r="E924" s="43" t="s">
        <v>859</v>
      </c>
      <c r="F924" s="74" t="s">
        <v>100</v>
      </c>
      <c r="G924" s="45">
        <v>815</v>
      </c>
      <c r="H924" s="45">
        <f>250+100+80</f>
        <v>430</v>
      </c>
      <c r="I924" s="45">
        <f>250+100+80</f>
        <v>430</v>
      </c>
    </row>
    <row r="925" spans="1:9" ht="94.5">
      <c r="A925" s="37" t="s">
        <v>860</v>
      </c>
      <c r="B925" s="44" t="s">
        <v>890</v>
      </c>
      <c r="C925" s="43" t="s">
        <v>69</v>
      </c>
      <c r="D925" s="43" t="s">
        <v>54</v>
      </c>
      <c r="E925" s="43" t="s">
        <v>861</v>
      </c>
      <c r="F925" s="74"/>
      <c r="G925" s="45">
        <f aca="true" t="shared" si="128" ref="G925:I926">G926</f>
        <v>30</v>
      </c>
      <c r="H925" s="45">
        <f t="shared" si="128"/>
        <v>30</v>
      </c>
      <c r="I925" s="45">
        <f t="shared" si="128"/>
        <v>30</v>
      </c>
    </row>
    <row r="926" spans="1:9" ht="31.5">
      <c r="A926" s="40" t="s">
        <v>784</v>
      </c>
      <c r="B926" s="44" t="s">
        <v>890</v>
      </c>
      <c r="C926" s="43" t="s">
        <v>69</v>
      </c>
      <c r="D926" s="43" t="s">
        <v>54</v>
      </c>
      <c r="E926" s="43" t="s">
        <v>862</v>
      </c>
      <c r="F926" s="74"/>
      <c r="G926" s="45">
        <f t="shared" si="128"/>
        <v>30</v>
      </c>
      <c r="H926" s="45">
        <f t="shared" si="128"/>
        <v>30</v>
      </c>
      <c r="I926" s="45">
        <f t="shared" si="128"/>
        <v>30</v>
      </c>
    </row>
    <row r="927" spans="1:9" ht="47.25">
      <c r="A927" s="40" t="s">
        <v>20</v>
      </c>
      <c r="B927" s="44" t="s">
        <v>890</v>
      </c>
      <c r="C927" s="43" t="s">
        <v>69</v>
      </c>
      <c r="D927" s="43" t="s">
        <v>54</v>
      </c>
      <c r="E927" s="43" t="s">
        <v>862</v>
      </c>
      <c r="F927" s="74" t="s">
        <v>100</v>
      </c>
      <c r="G927" s="45">
        <v>30</v>
      </c>
      <c r="H927" s="45">
        <v>30</v>
      </c>
      <c r="I927" s="45">
        <v>30</v>
      </c>
    </row>
    <row r="928" spans="1:9" ht="31.5">
      <c r="A928" s="37" t="s">
        <v>863</v>
      </c>
      <c r="B928" s="44" t="s">
        <v>890</v>
      </c>
      <c r="C928" s="43" t="s">
        <v>69</v>
      </c>
      <c r="D928" s="43" t="s">
        <v>54</v>
      </c>
      <c r="E928" s="43" t="s">
        <v>864</v>
      </c>
      <c r="F928" s="74"/>
      <c r="G928" s="45">
        <f aca="true" t="shared" si="129" ref="G928:I929">G929</f>
        <v>100</v>
      </c>
      <c r="H928" s="45">
        <f t="shared" si="129"/>
        <v>100</v>
      </c>
      <c r="I928" s="45">
        <f t="shared" si="129"/>
        <v>100</v>
      </c>
    </row>
    <row r="929" spans="1:9" ht="31.5">
      <c r="A929" s="40" t="s">
        <v>784</v>
      </c>
      <c r="B929" s="44" t="s">
        <v>890</v>
      </c>
      <c r="C929" s="43" t="s">
        <v>69</v>
      </c>
      <c r="D929" s="43" t="s">
        <v>54</v>
      </c>
      <c r="E929" s="43" t="s">
        <v>865</v>
      </c>
      <c r="F929" s="74"/>
      <c r="G929" s="45">
        <f t="shared" si="129"/>
        <v>100</v>
      </c>
      <c r="H929" s="45">
        <f t="shared" si="129"/>
        <v>100</v>
      </c>
      <c r="I929" s="45">
        <f t="shared" si="129"/>
        <v>100</v>
      </c>
    </row>
    <row r="930" spans="1:9" ht="47.25">
      <c r="A930" s="40" t="s">
        <v>20</v>
      </c>
      <c r="B930" s="44" t="s">
        <v>890</v>
      </c>
      <c r="C930" s="43" t="s">
        <v>69</v>
      </c>
      <c r="D930" s="43" t="s">
        <v>54</v>
      </c>
      <c r="E930" s="43" t="s">
        <v>865</v>
      </c>
      <c r="F930" s="74" t="s">
        <v>100</v>
      </c>
      <c r="G930" s="45">
        <v>100</v>
      </c>
      <c r="H930" s="45">
        <v>100</v>
      </c>
      <c r="I930" s="45">
        <v>100</v>
      </c>
    </row>
    <row r="931" spans="1:9" ht="47.25" hidden="1">
      <c r="A931" s="37" t="s">
        <v>866</v>
      </c>
      <c r="B931" s="44" t="s">
        <v>890</v>
      </c>
      <c r="C931" s="43" t="s">
        <v>69</v>
      </c>
      <c r="D931" s="43" t="s">
        <v>54</v>
      </c>
      <c r="E931" s="43" t="s">
        <v>885</v>
      </c>
      <c r="F931" s="43"/>
      <c r="G931" s="45">
        <f aca="true" t="shared" si="130" ref="G931:I932">G932</f>
        <v>0</v>
      </c>
      <c r="H931" s="45">
        <f t="shared" si="130"/>
        <v>0</v>
      </c>
      <c r="I931" s="45">
        <f t="shared" si="130"/>
        <v>0</v>
      </c>
    </row>
    <row r="932" spans="1:9" ht="31.5" hidden="1">
      <c r="A932" s="40" t="s">
        <v>784</v>
      </c>
      <c r="B932" s="44" t="s">
        <v>890</v>
      </c>
      <c r="C932" s="43" t="s">
        <v>69</v>
      </c>
      <c r="D932" s="43" t="s">
        <v>54</v>
      </c>
      <c r="E932" s="43" t="s">
        <v>867</v>
      </c>
      <c r="F932" s="74"/>
      <c r="G932" s="45">
        <f t="shared" si="130"/>
        <v>0</v>
      </c>
      <c r="H932" s="45">
        <f t="shared" si="130"/>
        <v>0</v>
      </c>
      <c r="I932" s="45">
        <f t="shared" si="130"/>
        <v>0</v>
      </c>
    </row>
    <row r="933" spans="1:9" ht="47.25" hidden="1">
      <c r="A933" s="40" t="s">
        <v>20</v>
      </c>
      <c r="B933" s="44" t="s">
        <v>890</v>
      </c>
      <c r="C933" s="43" t="s">
        <v>69</v>
      </c>
      <c r="D933" s="43" t="s">
        <v>54</v>
      </c>
      <c r="E933" s="43" t="s">
        <v>867</v>
      </c>
      <c r="F933" s="74" t="s">
        <v>100</v>
      </c>
      <c r="G933" s="45">
        <v>0</v>
      </c>
      <c r="H933" s="45">
        <v>0</v>
      </c>
      <c r="I933" s="45">
        <v>0</v>
      </c>
    </row>
    <row r="934" spans="1:9" ht="31.5">
      <c r="A934" s="37" t="s">
        <v>868</v>
      </c>
      <c r="B934" s="44" t="s">
        <v>890</v>
      </c>
      <c r="C934" s="43" t="s">
        <v>69</v>
      </c>
      <c r="D934" s="43" t="s">
        <v>54</v>
      </c>
      <c r="E934" s="43" t="s">
        <v>886</v>
      </c>
      <c r="F934" s="43"/>
      <c r="G934" s="45">
        <f aca="true" t="shared" si="131" ref="G934:I935">G935</f>
        <v>60</v>
      </c>
      <c r="H934" s="45">
        <f t="shared" si="131"/>
        <v>60</v>
      </c>
      <c r="I934" s="45">
        <f t="shared" si="131"/>
        <v>60</v>
      </c>
    </row>
    <row r="935" spans="1:9" ht="31.5">
      <c r="A935" s="40" t="s">
        <v>869</v>
      </c>
      <c r="B935" s="44" t="s">
        <v>890</v>
      </c>
      <c r="C935" s="43" t="s">
        <v>69</v>
      </c>
      <c r="D935" s="43" t="s">
        <v>54</v>
      </c>
      <c r="E935" s="43" t="s">
        <v>870</v>
      </c>
      <c r="F935" s="74"/>
      <c r="G935" s="45">
        <f t="shared" si="131"/>
        <v>60</v>
      </c>
      <c r="H935" s="45">
        <f t="shared" si="131"/>
        <v>60</v>
      </c>
      <c r="I935" s="45">
        <f t="shared" si="131"/>
        <v>60</v>
      </c>
    </row>
    <row r="936" spans="1:9" ht="47.25">
      <c r="A936" s="40" t="s">
        <v>20</v>
      </c>
      <c r="B936" s="44" t="s">
        <v>890</v>
      </c>
      <c r="C936" s="43" t="s">
        <v>69</v>
      </c>
      <c r="D936" s="43" t="s">
        <v>54</v>
      </c>
      <c r="E936" s="43" t="s">
        <v>870</v>
      </c>
      <c r="F936" s="74" t="s">
        <v>100</v>
      </c>
      <c r="G936" s="94">
        <v>60</v>
      </c>
      <c r="H936" s="94">
        <v>60</v>
      </c>
      <c r="I936" s="94">
        <v>60</v>
      </c>
    </row>
    <row r="937" spans="1:9" ht="31.5">
      <c r="A937" s="37" t="s">
        <v>871</v>
      </c>
      <c r="B937" s="44" t="s">
        <v>890</v>
      </c>
      <c r="C937" s="43" t="s">
        <v>69</v>
      </c>
      <c r="D937" s="43" t="s">
        <v>54</v>
      </c>
      <c r="E937" s="43" t="s">
        <v>884</v>
      </c>
      <c r="F937" s="43"/>
      <c r="G937" s="94">
        <f aca="true" t="shared" si="132" ref="G937:I938">G938</f>
        <v>500</v>
      </c>
      <c r="H937" s="94">
        <f t="shared" si="132"/>
        <v>500</v>
      </c>
      <c r="I937" s="94">
        <f t="shared" si="132"/>
        <v>500</v>
      </c>
    </row>
    <row r="938" spans="1:9" ht="31.5">
      <c r="A938" s="40" t="s">
        <v>784</v>
      </c>
      <c r="B938" s="44" t="s">
        <v>890</v>
      </c>
      <c r="C938" s="43" t="s">
        <v>69</v>
      </c>
      <c r="D938" s="43" t="s">
        <v>54</v>
      </c>
      <c r="E938" s="43" t="s">
        <v>872</v>
      </c>
      <c r="F938" s="74"/>
      <c r="G938" s="59">
        <f t="shared" si="132"/>
        <v>500</v>
      </c>
      <c r="H938" s="59">
        <f t="shared" si="132"/>
        <v>500</v>
      </c>
      <c r="I938" s="59">
        <f t="shared" si="132"/>
        <v>500</v>
      </c>
    </row>
    <row r="939" spans="1:9" ht="47.25">
      <c r="A939" s="40" t="s">
        <v>20</v>
      </c>
      <c r="B939" s="44" t="s">
        <v>890</v>
      </c>
      <c r="C939" s="43" t="s">
        <v>69</v>
      </c>
      <c r="D939" s="43" t="s">
        <v>54</v>
      </c>
      <c r="E939" s="43" t="s">
        <v>872</v>
      </c>
      <c r="F939" s="74" t="s">
        <v>100</v>
      </c>
      <c r="G939" s="59">
        <f>200+300</f>
        <v>500</v>
      </c>
      <c r="H939" s="59">
        <f>200+300</f>
        <v>500</v>
      </c>
      <c r="I939" s="59">
        <f>200+300</f>
        <v>500</v>
      </c>
    </row>
    <row r="940" spans="1:9" ht="31.5" hidden="1">
      <c r="A940" s="37" t="s">
        <v>873</v>
      </c>
      <c r="B940" s="44" t="s">
        <v>890</v>
      </c>
      <c r="C940" s="43" t="s">
        <v>69</v>
      </c>
      <c r="D940" s="43" t="s">
        <v>54</v>
      </c>
      <c r="E940" s="43" t="s">
        <v>883</v>
      </c>
      <c r="F940" s="43"/>
      <c r="G940" s="59">
        <f aca="true" t="shared" si="133" ref="G940:I941">G941</f>
        <v>0</v>
      </c>
      <c r="H940" s="59">
        <f t="shared" si="133"/>
        <v>0</v>
      </c>
      <c r="I940" s="59">
        <f t="shared" si="133"/>
        <v>0</v>
      </c>
    </row>
    <row r="941" spans="1:9" ht="31.5" hidden="1">
      <c r="A941" s="40" t="s">
        <v>784</v>
      </c>
      <c r="B941" s="44" t="s">
        <v>890</v>
      </c>
      <c r="C941" s="43" t="s">
        <v>69</v>
      </c>
      <c r="D941" s="43" t="s">
        <v>54</v>
      </c>
      <c r="E941" s="43" t="s">
        <v>874</v>
      </c>
      <c r="F941" s="74"/>
      <c r="G941" s="94">
        <f t="shared" si="133"/>
        <v>0</v>
      </c>
      <c r="H941" s="94">
        <f t="shared" si="133"/>
        <v>0</v>
      </c>
      <c r="I941" s="94">
        <f t="shared" si="133"/>
        <v>0</v>
      </c>
    </row>
    <row r="942" spans="1:9" ht="47.25" hidden="1">
      <c r="A942" s="40" t="s">
        <v>20</v>
      </c>
      <c r="B942" s="44" t="s">
        <v>890</v>
      </c>
      <c r="C942" s="43" t="s">
        <v>69</v>
      </c>
      <c r="D942" s="43" t="s">
        <v>54</v>
      </c>
      <c r="E942" s="43" t="s">
        <v>874</v>
      </c>
      <c r="F942" s="74" t="s">
        <v>100</v>
      </c>
      <c r="G942" s="94">
        <v>0</v>
      </c>
      <c r="H942" s="94">
        <v>0</v>
      </c>
      <c r="I942" s="94">
        <v>0</v>
      </c>
    </row>
    <row r="943" spans="1:9" ht="31.5">
      <c r="A943" s="37" t="s">
        <v>880</v>
      </c>
      <c r="B943" s="44" t="s">
        <v>890</v>
      </c>
      <c r="C943" s="43" t="s">
        <v>69</v>
      </c>
      <c r="D943" s="43" t="s">
        <v>54</v>
      </c>
      <c r="E943" s="43" t="s">
        <v>966</v>
      </c>
      <c r="F943" s="43"/>
      <c r="G943" s="59">
        <f>G944+G946</f>
        <v>700</v>
      </c>
      <c r="H943" s="59">
        <f>H944+H946</f>
        <v>0</v>
      </c>
      <c r="I943" s="59">
        <f>I944+I946</f>
        <v>0</v>
      </c>
    </row>
    <row r="944" spans="1:9" ht="31.5">
      <c r="A944" s="40" t="s">
        <v>421</v>
      </c>
      <c r="B944" s="44" t="s">
        <v>890</v>
      </c>
      <c r="C944" s="43" t="s">
        <v>69</v>
      </c>
      <c r="D944" s="43" t="s">
        <v>54</v>
      </c>
      <c r="E944" s="43" t="s">
        <v>881</v>
      </c>
      <c r="F944" s="74"/>
      <c r="G944" s="59">
        <f>G945</f>
        <v>665</v>
      </c>
      <c r="H944" s="59">
        <f>H945</f>
        <v>0</v>
      </c>
      <c r="I944" s="59">
        <f>I945</f>
        <v>0</v>
      </c>
    </row>
    <row r="945" spans="1:9" ht="47.25">
      <c r="A945" s="40" t="s">
        <v>20</v>
      </c>
      <c r="B945" s="44" t="s">
        <v>890</v>
      </c>
      <c r="C945" s="43" t="s">
        <v>69</v>
      </c>
      <c r="D945" s="43" t="s">
        <v>54</v>
      </c>
      <c r="E945" s="43" t="s">
        <v>881</v>
      </c>
      <c r="F945" s="74" t="s">
        <v>100</v>
      </c>
      <c r="G945" s="59">
        <v>665</v>
      </c>
      <c r="H945" s="59">
        <v>0</v>
      </c>
      <c r="I945" s="59">
        <v>0</v>
      </c>
    </row>
    <row r="946" spans="1:9" ht="63">
      <c r="A946" s="40" t="s">
        <v>422</v>
      </c>
      <c r="B946" s="44" t="s">
        <v>890</v>
      </c>
      <c r="C946" s="43" t="s">
        <v>69</v>
      </c>
      <c r="D946" s="43" t="s">
        <v>54</v>
      </c>
      <c r="E946" s="43" t="s">
        <v>882</v>
      </c>
      <c r="F946" s="43"/>
      <c r="G946" s="59">
        <f>G947</f>
        <v>35</v>
      </c>
      <c r="H946" s="59">
        <f>H947</f>
        <v>0</v>
      </c>
      <c r="I946" s="59">
        <f>I947</f>
        <v>0</v>
      </c>
    </row>
    <row r="947" spans="1:9" ht="47.25">
      <c r="A947" s="40" t="s">
        <v>20</v>
      </c>
      <c r="B947" s="44" t="s">
        <v>890</v>
      </c>
      <c r="C947" s="43" t="s">
        <v>69</v>
      </c>
      <c r="D947" s="43" t="s">
        <v>54</v>
      </c>
      <c r="E947" s="43" t="s">
        <v>882</v>
      </c>
      <c r="F947" s="43" t="s">
        <v>100</v>
      </c>
      <c r="G947" s="59">
        <v>35</v>
      </c>
      <c r="H947" s="59">
        <v>0</v>
      </c>
      <c r="I947" s="59">
        <v>0</v>
      </c>
    </row>
    <row r="948" spans="1:9" ht="31.5">
      <c r="A948" s="40" t="s">
        <v>887</v>
      </c>
      <c r="B948" s="44" t="s">
        <v>890</v>
      </c>
      <c r="C948" s="43" t="s">
        <v>69</v>
      </c>
      <c r="D948" s="43" t="s">
        <v>69</v>
      </c>
      <c r="E948" s="43"/>
      <c r="F948" s="74"/>
      <c r="G948" s="94">
        <f aca="true" t="shared" si="134" ref="G948:I951">G949</f>
        <v>370.79999999999995</v>
      </c>
      <c r="H948" s="94">
        <f t="shared" si="134"/>
        <v>170</v>
      </c>
      <c r="I948" s="94">
        <f t="shared" si="134"/>
        <v>170</v>
      </c>
    </row>
    <row r="949" spans="1:9" ht="63">
      <c r="A949" s="37" t="s">
        <v>856</v>
      </c>
      <c r="B949" s="44" t="s">
        <v>890</v>
      </c>
      <c r="C949" s="43" t="s">
        <v>69</v>
      </c>
      <c r="D949" s="43" t="s">
        <v>69</v>
      </c>
      <c r="E949" s="43" t="s">
        <v>169</v>
      </c>
      <c r="F949" s="74"/>
      <c r="G949" s="94">
        <f t="shared" si="134"/>
        <v>370.79999999999995</v>
      </c>
      <c r="H949" s="94">
        <f t="shared" si="134"/>
        <v>170</v>
      </c>
      <c r="I949" s="94">
        <f t="shared" si="134"/>
        <v>170</v>
      </c>
    </row>
    <row r="950" spans="1:9" ht="31.5">
      <c r="A950" s="37" t="s">
        <v>876</v>
      </c>
      <c r="B950" s="44" t="s">
        <v>890</v>
      </c>
      <c r="C950" s="43" t="s">
        <v>69</v>
      </c>
      <c r="D950" s="43" t="s">
        <v>69</v>
      </c>
      <c r="E950" s="43" t="s">
        <v>965</v>
      </c>
      <c r="F950" s="43"/>
      <c r="G950" s="94">
        <f t="shared" si="134"/>
        <v>370.79999999999995</v>
      </c>
      <c r="H950" s="94">
        <f t="shared" si="134"/>
        <v>170</v>
      </c>
      <c r="I950" s="94">
        <f t="shared" si="134"/>
        <v>170</v>
      </c>
    </row>
    <row r="951" spans="1:9" ht="31.5">
      <c r="A951" s="40" t="s">
        <v>877</v>
      </c>
      <c r="B951" s="44" t="s">
        <v>890</v>
      </c>
      <c r="C951" s="43" t="s">
        <v>69</v>
      </c>
      <c r="D951" s="43" t="s">
        <v>69</v>
      </c>
      <c r="E951" s="43" t="s">
        <v>878</v>
      </c>
      <c r="F951" s="74"/>
      <c r="G951" s="94">
        <f t="shared" si="134"/>
        <v>370.79999999999995</v>
      </c>
      <c r="H951" s="94">
        <f t="shared" si="134"/>
        <v>170</v>
      </c>
      <c r="I951" s="94">
        <f t="shared" si="134"/>
        <v>170</v>
      </c>
    </row>
    <row r="952" spans="1:9" ht="47.25">
      <c r="A952" s="37" t="s">
        <v>96</v>
      </c>
      <c r="B952" s="44" t="s">
        <v>890</v>
      </c>
      <c r="C952" s="43" t="s">
        <v>69</v>
      </c>
      <c r="D952" s="43" t="s">
        <v>69</v>
      </c>
      <c r="E952" s="43" t="s">
        <v>878</v>
      </c>
      <c r="F952" s="74" t="s">
        <v>97</v>
      </c>
      <c r="G952" s="94">
        <v>370.79999999999995</v>
      </c>
      <c r="H952" s="94">
        <v>170</v>
      </c>
      <c r="I952" s="94">
        <v>170</v>
      </c>
    </row>
    <row r="953" spans="1:9" ht="15.75">
      <c r="A953" s="182" t="s">
        <v>76</v>
      </c>
      <c r="B953" s="44" t="s">
        <v>890</v>
      </c>
      <c r="C953" s="43" t="s">
        <v>59</v>
      </c>
      <c r="D953" s="43"/>
      <c r="E953" s="43"/>
      <c r="F953" s="74"/>
      <c r="G953" s="94">
        <f aca="true" t="shared" si="135" ref="G953:G958">G954</f>
        <v>5</v>
      </c>
      <c r="H953" s="94"/>
      <c r="I953" s="94"/>
    </row>
    <row r="954" spans="1:9" ht="58.5" customHeight="1">
      <c r="A954" s="40" t="s">
        <v>520</v>
      </c>
      <c r="B954" s="44" t="s">
        <v>890</v>
      </c>
      <c r="C954" s="43" t="s">
        <v>59</v>
      </c>
      <c r="D954" s="43" t="s">
        <v>69</v>
      </c>
      <c r="E954" s="43"/>
      <c r="F954" s="74"/>
      <c r="G954" s="94">
        <f t="shared" si="135"/>
        <v>5</v>
      </c>
      <c r="H954" s="94"/>
      <c r="I954" s="94"/>
    </row>
    <row r="955" spans="1:9" ht="78.75">
      <c r="A955" s="40" t="s">
        <v>687</v>
      </c>
      <c r="B955" s="44" t="s">
        <v>890</v>
      </c>
      <c r="C955" s="43" t="s">
        <v>59</v>
      </c>
      <c r="D955" s="43" t="s">
        <v>69</v>
      </c>
      <c r="E955" s="43" t="s">
        <v>566</v>
      </c>
      <c r="F955" s="177"/>
      <c r="G955" s="94">
        <f t="shared" si="135"/>
        <v>5</v>
      </c>
      <c r="H955" s="94"/>
      <c r="I955" s="94"/>
    </row>
    <row r="956" spans="1:9" ht="78.75">
      <c r="A956" s="87" t="s">
        <v>942</v>
      </c>
      <c r="B956" s="44" t="s">
        <v>890</v>
      </c>
      <c r="C956" s="43" t="s">
        <v>59</v>
      </c>
      <c r="D956" s="43" t="s">
        <v>69</v>
      </c>
      <c r="E956" s="43" t="s">
        <v>680</v>
      </c>
      <c r="F956" s="74"/>
      <c r="G956" s="94">
        <f t="shared" si="135"/>
        <v>5</v>
      </c>
      <c r="H956" s="94"/>
      <c r="I956" s="94"/>
    </row>
    <row r="957" spans="1:9" ht="78.75">
      <c r="A957" s="40" t="s">
        <v>941</v>
      </c>
      <c r="B957" s="44" t="s">
        <v>890</v>
      </c>
      <c r="C957" s="43" t="s">
        <v>59</v>
      </c>
      <c r="D957" s="43" t="s">
        <v>69</v>
      </c>
      <c r="E957" s="43" t="s">
        <v>682</v>
      </c>
      <c r="F957" s="74"/>
      <c r="G957" s="94">
        <f t="shared" si="135"/>
        <v>5</v>
      </c>
      <c r="H957" s="94"/>
      <c r="I957" s="94"/>
    </row>
    <row r="958" spans="1:9" ht="31.5">
      <c r="A958" s="40" t="s">
        <v>95</v>
      </c>
      <c r="B958" s="44" t="s">
        <v>890</v>
      </c>
      <c r="C958" s="43" t="s">
        <v>59</v>
      </c>
      <c r="D958" s="43" t="s">
        <v>69</v>
      </c>
      <c r="E958" s="43" t="s">
        <v>683</v>
      </c>
      <c r="F958" s="43"/>
      <c r="G958" s="94">
        <f t="shared" si="135"/>
        <v>5</v>
      </c>
      <c r="H958" s="94"/>
      <c r="I958" s="94"/>
    </row>
    <row r="959" spans="1:9" ht="47.25">
      <c r="A959" s="40" t="s">
        <v>20</v>
      </c>
      <c r="B959" s="44" t="s">
        <v>890</v>
      </c>
      <c r="C959" s="43" t="s">
        <v>59</v>
      </c>
      <c r="D959" s="43" t="s">
        <v>69</v>
      </c>
      <c r="E959" s="43" t="s">
        <v>683</v>
      </c>
      <c r="F959" s="43" t="s">
        <v>100</v>
      </c>
      <c r="G959" s="94">
        <v>5</v>
      </c>
      <c r="H959" s="94"/>
      <c r="I959" s="94"/>
    </row>
    <row r="960" spans="1:9" ht="67.5" customHeight="1">
      <c r="A960" s="50" t="s">
        <v>979</v>
      </c>
      <c r="B960" s="46" t="s">
        <v>944</v>
      </c>
      <c r="C960" s="46"/>
      <c r="D960" s="46"/>
      <c r="E960" s="46"/>
      <c r="F960" s="46"/>
      <c r="G960" s="185">
        <f>G961+G973</f>
        <v>10600.7</v>
      </c>
      <c r="H960" s="185">
        <f>H961</f>
        <v>10600.7</v>
      </c>
      <c r="I960" s="185">
        <f>I961</f>
        <v>9500.7</v>
      </c>
    </row>
    <row r="961" spans="1:9" ht="15.75">
      <c r="A961" s="40" t="s">
        <v>50</v>
      </c>
      <c r="B961" s="43" t="s">
        <v>944</v>
      </c>
      <c r="C961" s="43" t="s">
        <v>51</v>
      </c>
      <c r="D961" s="43"/>
      <c r="E961" s="43"/>
      <c r="F961" s="43"/>
      <c r="G961" s="59">
        <f aca="true" t="shared" si="136" ref="G961:I963">G962</f>
        <v>10580.7</v>
      </c>
      <c r="H961" s="45">
        <f t="shared" si="136"/>
        <v>10600.7</v>
      </c>
      <c r="I961" s="45">
        <f t="shared" si="136"/>
        <v>9500.7</v>
      </c>
    </row>
    <row r="962" spans="1:9" ht="63">
      <c r="A962" s="40" t="s">
        <v>57</v>
      </c>
      <c r="B962" s="43" t="s">
        <v>944</v>
      </c>
      <c r="C962" s="43" t="s">
        <v>51</v>
      </c>
      <c r="D962" s="43" t="s">
        <v>58</v>
      </c>
      <c r="E962" s="43"/>
      <c r="F962" s="43"/>
      <c r="G962" s="59">
        <f t="shared" si="136"/>
        <v>10580.7</v>
      </c>
      <c r="H962" s="45">
        <f t="shared" si="136"/>
        <v>10600.7</v>
      </c>
      <c r="I962" s="45">
        <f t="shared" si="136"/>
        <v>9500.7</v>
      </c>
    </row>
    <row r="963" spans="1:9" ht="78.75">
      <c r="A963" s="40" t="s">
        <v>687</v>
      </c>
      <c r="B963" s="43" t="s">
        <v>944</v>
      </c>
      <c r="C963" s="43" t="s">
        <v>51</v>
      </c>
      <c r="D963" s="43" t="s">
        <v>58</v>
      </c>
      <c r="E963" s="43" t="s">
        <v>566</v>
      </c>
      <c r="F963" s="43"/>
      <c r="G963" s="59">
        <f>G964</f>
        <v>10580.7</v>
      </c>
      <c r="H963" s="45">
        <f t="shared" si="136"/>
        <v>10600.7</v>
      </c>
      <c r="I963" s="45">
        <f t="shared" si="136"/>
        <v>9500.7</v>
      </c>
    </row>
    <row r="964" spans="1:9" ht="63">
      <c r="A964" s="40" t="s">
        <v>697</v>
      </c>
      <c r="B964" s="43" t="s">
        <v>944</v>
      </c>
      <c r="C964" s="43" t="s">
        <v>51</v>
      </c>
      <c r="D964" s="43" t="s">
        <v>58</v>
      </c>
      <c r="E964" s="43" t="s">
        <v>669</v>
      </c>
      <c r="F964" s="74"/>
      <c r="G964" s="94">
        <f>G965</f>
        <v>10580.7</v>
      </c>
      <c r="H964" s="94">
        <f>H965</f>
        <v>10600.7</v>
      </c>
      <c r="I964" s="94">
        <f>I965</f>
        <v>9500.7</v>
      </c>
    </row>
    <row r="965" spans="1:9" ht="63">
      <c r="A965" s="40" t="s">
        <v>670</v>
      </c>
      <c r="B965" s="43" t="s">
        <v>944</v>
      </c>
      <c r="C965" s="43" t="s">
        <v>51</v>
      </c>
      <c r="D965" s="43" t="s">
        <v>58</v>
      </c>
      <c r="E965" s="43" t="s">
        <v>671</v>
      </c>
      <c r="F965" s="74"/>
      <c r="G965" s="94">
        <f>G966+G971</f>
        <v>10580.7</v>
      </c>
      <c r="H965" s="94">
        <f>H966+H971</f>
        <v>10600.7</v>
      </c>
      <c r="I965" s="94">
        <f>I966+I971</f>
        <v>9500.7</v>
      </c>
    </row>
    <row r="966" spans="1:9" ht="31.5">
      <c r="A966" s="40" t="s">
        <v>95</v>
      </c>
      <c r="B966" s="43" t="s">
        <v>944</v>
      </c>
      <c r="C966" s="43" t="s">
        <v>51</v>
      </c>
      <c r="D966" s="43" t="s">
        <v>58</v>
      </c>
      <c r="E966" s="43" t="s">
        <v>672</v>
      </c>
      <c r="F966" s="43"/>
      <c r="G966" s="94">
        <f>G967+G968</f>
        <v>8412.2</v>
      </c>
      <c r="H966" s="94">
        <f>H967+H968</f>
        <v>8424.300000000001</v>
      </c>
      <c r="I966" s="94">
        <f>I967+I968</f>
        <v>7316.1</v>
      </c>
    </row>
    <row r="967" spans="1:9" ht="47.25">
      <c r="A967" s="40" t="s">
        <v>96</v>
      </c>
      <c r="B967" s="43" t="s">
        <v>944</v>
      </c>
      <c r="C967" s="43" t="s">
        <v>51</v>
      </c>
      <c r="D967" s="43" t="s">
        <v>58</v>
      </c>
      <c r="E967" s="43" t="s">
        <v>672</v>
      </c>
      <c r="F967" s="43" t="s">
        <v>97</v>
      </c>
      <c r="G967" s="94">
        <v>7281.200000000001</v>
      </c>
      <c r="H967" s="94">
        <f>9230.7-2176.4</f>
        <v>7054.300000000001</v>
      </c>
      <c r="I967" s="94">
        <f>9230.7-2184.6</f>
        <v>7046.1</v>
      </c>
    </row>
    <row r="968" spans="1:9" ht="47.25">
      <c r="A968" s="40" t="s">
        <v>20</v>
      </c>
      <c r="B968" s="43" t="s">
        <v>944</v>
      </c>
      <c r="C968" s="43" t="s">
        <v>51</v>
      </c>
      <c r="D968" s="43" t="s">
        <v>58</v>
      </c>
      <c r="E968" s="43" t="s">
        <v>672</v>
      </c>
      <c r="F968" s="43" t="s">
        <v>100</v>
      </c>
      <c r="G968" s="94">
        <v>1131</v>
      </c>
      <c r="H968" s="94">
        <f>1370</f>
        <v>1370</v>
      </c>
      <c r="I968" s="94">
        <f>1370-1100</f>
        <v>270</v>
      </c>
    </row>
    <row r="969" spans="1:9" ht="252" hidden="1">
      <c r="A969" s="40" t="s">
        <v>550</v>
      </c>
      <c r="B969" s="43" t="s">
        <v>944</v>
      </c>
      <c r="C969" s="43" t="s">
        <v>51</v>
      </c>
      <c r="D969" s="43" t="s">
        <v>58</v>
      </c>
      <c r="E969" s="43" t="s">
        <v>673</v>
      </c>
      <c r="F969" s="43"/>
      <c r="G969" s="94">
        <f>G970</f>
        <v>0</v>
      </c>
      <c r="H969" s="94"/>
      <c r="I969" s="94"/>
    </row>
    <row r="970" spans="1:9" ht="47.25" hidden="1">
      <c r="A970" s="40" t="s">
        <v>96</v>
      </c>
      <c r="B970" s="43" t="s">
        <v>944</v>
      </c>
      <c r="C970" s="43" t="s">
        <v>51</v>
      </c>
      <c r="D970" s="43" t="s">
        <v>58</v>
      </c>
      <c r="E970" s="43" t="s">
        <v>673</v>
      </c>
      <c r="F970" s="43" t="s">
        <v>97</v>
      </c>
      <c r="G970" s="94">
        <v>0</v>
      </c>
      <c r="H970" s="94"/>
      <c r="I970" s="94"/>
    </row>
    <row r="971" spans="1:9" ht="63">
      <c r="A971" s="40" t="s">
        <v>462</v>
      </c>
      <c r="B971" s="43" t="s">
        <v>944</v>
      </c>
      <c r="C971" s="43" t="s">
        <v>51</v>
      </c>
      <c r="D971" s="43" t="s">
        <v>58</v>
      </c>
      <c r="E971" s="43" t="s">
        <v>674</v>
      </c>
      <c r="F971" s="43"/>
      <c r="G971" s="94">
        <f>G972</f>
        <v>2168.5</v>
      </c>
      <c r="H971" s="94">
        <f>H972</f>
        <v>2176.4</v>
      </c>
      <c r="I971" s="94">
        <f>I972</f>
        <v>2184.6</v>
      </c>
    </row>
    <row r="972" spans="1:9" ht="47.25">
      <c r="A972" s="40" t="s">
        <v>96</v>
      </c>
      <c r="B972" s="43" t="s">
        <v>944</v>
      </c>
      <c r="C972" s="43" t="s">
        <v>51</v>
      </c>
      <c r="D972" s="43" t="s">
        <v>58</v>
      </c>
      <c r="E972" s="43" t="s">
        <v>674</v>
      </c>
      <c r="F972" s="43" t="s">
        <v>97</v>
      </c>
      <c r="G972" s="94">
        <v>2168.5</v>
      </c>
      <c r="H972" s="94">
        <v>2176.4</v>
      </c>
      <c r="I972" s="94">
        <v>2184.6</v>
      </c>
    </row>
    <row r="973" spans="1:9" ht="15.75">
      <c r="A973" s="182" t="s">
        <v>76</v>
      </c>
      <c r="B973" s="43" t="s">
        <v>944</v>
      </c>
      <c r="C973" s="43" t="s">
        <v>59</v>
      </c>
      <c r="D973" s="43"/>
      <c r="E973" s="43"/>
      <c r="F973" s="43"/>
      <c r="G973" s="94">
        <f>G974</f>
        <v>20</v>
      </c>
      <c r="H973" s="94"/>
      <c r="I973" s="94"/>
    </row>
    <row r="974" spans="1:9" ht="47.25">
      <c r="A974" s="40" t="s">
        <v>520</v>
      </c>
      <c r="B974" s="43" t="s">
        <v>944</v>
      </c>
      <c r="C974" s="43" t="s">
        <v>59</v>
      </c>
      <c r="D974" s="43" t="s">
        <v>69</v>
      </c>
      <c r="E974" s="43"/>
      <c r="F974" s="43"/>
      <c r="G974" s="94">
        <f>G975</f>
        <v>20</v>
      </c>
      <c r="H974" s="94"/>
      <c r="I974" s="94"/>
    </row>
    <row r="975" spans="1:9" ht="78.75">
      <c r="A975" s="40" t="s">
        <v>687</v>
      </c>
      <c r="B975" s="43" t="s">
        <v>944</v>
      </c>
      <c r="C975" s="43" t="s">
        <v>59</v>
      </c>
      <c r="D975" s="43" t="s">
        <v>69</v>
      </c>
      <c r="E975" s="43" t="s">
        <v>566</v>
      </c>
      <c r="F975" s="43"/>
      <c r="G975" s="59">
        <f>G976</f>
        <v>20</v>
      </c>
      <c r="H975" s="94"/>
      <c r="I975" s="94"/>
    </row>
    <row r="976" spans="1:9" ht="63">
      <c r="A976" s="40" t="s">
        <v>697</v>
      </c>
      <c r="B976" s="43" t="s">
        <v>944</v>
      </c>
      <c r="C976" s="43" t="s">
        <v>59</v>
      </c>
      <c r="D976" s="43" t="s">
        <v>69</v>
      </c>
      <c r="E976" s="43" t="s">
        <v>669</v>
      </c>
      <c r="F976" s="74"/>
      <c r="G976" s="94">
        <f>G977</f>
        <v>20</v>
      </c>
      <c r="H976" s="94"/>
      <c r="I976" s="94"/>
    </row>
    <row r="977" spans="1:9" ht="63">
      <c r="A977" s="40" t="s">
        <v>670</v>
      </c>
      <c r="B977" s="43" t="s">
        <v>944</v>
      </c>
      <c r="C977" s="43" t="s">
        <v>59</v>
      </c>
      <c r="D977" s="43" t="s">
        <v>69</v>
      </c>
      <c r="E977" s="43" t="s">
        <v>671</v>
      </c>
      <c r="F977" s="74"/>
      <c r="G977" s="94">
        <f>G978+G983</f>
        <v>20</v>
      </c>
      <c r="H977" s="94"/>
      <c r="I977" s="94"/>
    </row>
    <row r="978" spans="1:9" ht="31.5">
      <c r="A978" s="40" t="s">
        <v>95</v>
      </c>
      <c r="B978" s="43" t="s">
        <v>944</v>
      </c>
      <c r="C978" s="43" t="s">
        <v>59</v>
      </c>
      <c r="D978" s="43" t="s">
        <v>69</v>
      </c>
      <c r="E978" s="43" t="s">
        <v>672</v>
      </c>
      <c r="F978" s="43"/>
      <c r="G978" s="94">
        <f>G979</f>
        <v>20</v>
      </c>
      <c r="H978" s="94"/>
      <c r="I978" s="94"/>
    </row>
    <row r="979" spans="1:9" ht="47.25">
      <c r="A979" s="40" t="s">
        <v>20</v>
      </c>
      <c r="B979" s="43" t="s">
        <v>944</v>
      </c>
      <c r="C979" s="43" t="s">
        <v>59</v>
      </c>
      <c r="D979" s="43" t="s">
        <v>69</v>
      </c>
      <c r="E979" s="43" t="s">
        <v>672</v>
      </c>
      <c r="F979" s="43" t="s">
        <v>100</v>
      </c>
      <c r="G979" s="94">
        <v>20</v>
      </c>
      <c r="H979" s="94"/>
      <c r="I979" s="94"/>
    </row>
    <row r="980" spans="1:9" ht="15.75">
      <c r="A980" s="50" t="s">
        <v>92</v>
      </c>
      <c r="B980" s="237"/>
      <c r="C980" s="238"/>
      <c r="D980" s="238"/>
      <c r="E980" s="238"/>
      <c r="F980" s="239"/>
      <c r="G980" s="61">
        <f>G16+G214+G251+G960+G233+G837</f>
        <v>994133.7000000002</v>
      </c>
      <c r="H980" s="61">
        <f>H16+H214+H251+H960+H233+H837</f>
        <v>744896.5</v>
      </c>
      <c r="I980" s="61">
        <f>I16+I214+I251+I960+I233+I837</f>
        <v>510423.5</v>
      </c>
    </row>
    <row r="981" spans="1:9" ht="15.75">
      <c r="A981" s="56" t="s">
        <v>119</v>
      </c>
      <c r="B981" s="242"/>
      <c r="C981" s="243"/>
      <c r="D981" s="243"/>
      <c r="E981" s="243"/>
      <c r="F981" s="244"/>
      <c r="G981" s="73"/>
      <c r="H981" s="73">
        <v>9115.4</v>
      </c>
      <c r="I981" s="108">
        <v>17960.9</v>
      </c>
    </row>
    <row r="982" spans="1:9" ht="15.75">
      <c r="A982" s="56" t="s">
        <v>120</v>
      </c>
      <c r="B982" s="242"/>
      <c r="C982" s="243"/>
      <c r="D982" s="243"/>
      <c r="E982" s="243"/>
      <c r="F982" s="244"/>
      <c r="G982" s="73">
        <f>G980+G981</f>
        <v>994133.7000000002</v>
      </c>
      <c r="H982" s="73">
        <f>H980+H981</f>
        <v>754011.9</v>
      </c>
      <c r="I982" s="73">
        <f>I980+I981</f>
        <v>528384.4</v>
      </c>
    </row>
    <row r="983" ht="15.75">
      <c r="I983" s="16" t="s">
        <v>601</v>
      </c>
    </row>
    <row r="989" spans="7:9" ht="14.25">
      <c r="G989" s="196"/>
      <c r="H989" s="196"/>
      <c r="I989" s="196"/>
    </row>
    <row r="991" spans="1:9" ht="14.25">
      <c r="A991" s="31"/>
      <c r="G991" s="196"/>
      <c r="H991" s="196"/>
      <c r="I991" s="196"/>
    </row>
  </sheetData>
  <sheetProtection formatCells="0" formatColumns="0" formatRows="0" insertColumns="0" insertRows="0" insertHyperlinks="0" deleteColumns="0" deleteRows="0" sort="0" autoFilter="0" pivotTables="0"/>
  <mergeCells count="20">
    <mergeCell ref="B981:F981"/>
    <mergeCell ref="B982:F982"/>
    <mergeCell ref="B980:F980"/>
    <mergeCell ref="B8:I8"/>
    <mergeCell ref="A12:I12"/>
    <mergeCell ref="A10:I10"/>
    <mergeCell ref="G13:I13"/>
    <mergeCell ref="A13:A14"/>
    <mergeCell ref="B13:B14"/>
    <mergeCell ref="C13:C14"/>
    <mergeCell ref="B1:I1"/>
    <mergeCell ref="B2:I2"/>
    <mergeCell ref="B3:I3"/>
    <mergeCell ref="B4:I4"/>
    <mergeCell ref="D13:D14"/>
    <mergeCell ref="B5:I5"/>
    <mergeCell ref="B6:I6"/>
    <mergeCell ref="E13:E14"/>
    <mergeCell ref="F13:F14"/>
    <mergeCell ref="B7:I7"/>
  </mergeCells>
  <conditionalFormatting sqref="A585:A587">
    <cfRule type="duplicateValues" priority="10" dxfId="12" stopIfTrue="1">
      <formula>AND(COUNTIF($A$585:$A$587,A585)&gt;1,NOT(ISBLANK(A585)))</formula>
    </cfRule>
  </conditionalFormatting>
  <conditionalFormatting sqref="A560:A562">
    <cfRule type="duplicateValues" priority="8" dxfId="12" stopIfTrue="1">
      <formula>AND(COUNTIF($A$560:$A$562,A560)&gt;1,NOT(ISBLANK(A560)))</formula>
    </cfRule>
  </conditionalFormatting>
  <conditionalFormatting sqref="A563:A565">
    <cfRule type="duplicateValues" priority="6" dxfId="12" stopIfTrue="1">
      <formula>AND(COUNTIF($A$563:$A$565,A563)&gt;1,NOT(ISBLANK(A563)))</formula>
    </cfRule>
  </conditionalFormatting>
  <conditionalFormatting sqref="A950:A954">
    <cfRule type="duplicateValues" priority="3" dxfId="12" stopIfTrue="1">
      <formula>AND(COUNTIF($A$950:$A$954,A950)&gt;1,NOT(ISBLANK(A950)))</formula>
    </cfRule>
  </conditionalFormatting>
  <conditionalFormatting sqref="A940:A942">
    <cfRule type="duplicateValues" priority="2" dxfId="12" stopIfTrue="1">
      <formula>AND(COUNTIF($A$940:$A$942,A940)&gt;1,NOT(ISBLANK(A940)))</formula>
    </cfRule>
  </conditionalFormatting>
  <conditionalFormatting sqref="A943:A945">
    <cfRule type="duplicateValues" priority="1" dxfId="12" stopIfTrue="1">
      <formula>AND(COUNTIF($A$943:$A$945,A943)&gt;1,NOT(ISBLANK(A943)))</formula>
    </cfRule>
  </conditionalFormatting>
  <printOptions horizontalCentered="1"/>
  <pageMargins left="0.984251968503937" right="0.5905511811023623" top="0.7874015748031497" bottom="0.7874015748031497" header="0.3937007874015748" footer="0.5118110236220472"/>
  <pageSetup fitToHeight="0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82"/>
  <sheetViews>
    <sheetView zoomScale="80" zoomScaleNormal="80" zoomScaleSheetLayoutView="75" zoomScalePageLayoutView="0" workbookViewId="0" topLeftCell="A658">
      <selection activeCell="H18" sqref="H18"/>
    </sheetView>
  </sheetViews>
  <sheetFormatPr defaultColWidth="9.00390625" defaultRowHeight="12.75"/>
  <cols>
    <col min="1" max="1" width="46.125" style="104" customWidth="1"/>
    <col min="2" max="2" width="15.375" style="27" customWidth="1"/>
    <col min="3" max="3" width="3.375" style="27" bestFit="1" customWidth="1"/>
    <col min="4" max="4" width="4.00390625" style="27" bestFit="1" customWidth="1"/>
    <col min="5" max="5" width="5.625" style="27" bestFit="1" customWidth="1"/>
    <col min="6" max="6" width="13.625" style="27" customWidth="1"/>
    <col min="7" max="7" width="12.25390625" style="27" customWidth="1"/>
    <col min="8" max="8" width="11.875" style="27" customWidth="1"/>
    <col min="9" max="16384" width="9.125" style="1" customWidth="1"/>
  </cols>
  <sheetData>
    <row r="1" spans="1:8" ht="15.75">
      <c r="A1" s="214" t="s">
        <v>616</v>
      </c>
      <c r="B1" s="214"/>
      <c r="C1" s="214"/>
      <c r="D1" s="214"/>
      <c r="E1" s="214"/>
      <c r="F1" s="214"/>
      <c r="G1" s="214"/>
      <c r="H1" s="214"/>
    </row>
    <row r="2" spans="1:8" ht="15.75">
      <c r="A2" s="214" t="s">
        <v>31</v>
      </c>
      <c r="B2" s="214"/>
      <c r="C2" s="214"/>
      <c r="D2" s="214"/>
      <c r="E2" s="214"/>
      <c r="F2" s="214"/>
      <c r="G2" s="214"/>
      <c r="H2" s="214"/>
    </row>
    <row r="3" spans="1:8" ht="15.75">
      <c r="A3" s="209" t="s">
        <v>622</v>
      </c>
      <c r="B3" s="209"/>
      <c r="C3" s="209"/>
      <c r="D3" s="209"/>
      <c r="E3" s="209"/>
      <c r="F3" s="209"/>
      <c r="G3" s="209"/>
      <c r="H3" s="209"/>
    </row>
    <row r="4" spans="1:8" ht="15.75">
      <c r="A4" s="209" t="s">
        <v>1032</v>
      </c>
      <c r="B4" s="209"/>
      <c r="C4" s="209"/>
      <c r="D4" s="209"/>
      <c r="E4" s="209"/>
      <c r="F4" s="209"/>
      <c r="G4" s="209"/>
      <c r="H4" s="209"/>
    </row>
    <row r="5" spans="1:8" ht="15.75">
      <c r="A5" s="214" t="s">
        <v>998</v>
      </c>
      <c r="B5" s="214"/>
      <c r="C5" s="214"/>
      <c r="D5" s="214"/>
      <c r="E5" s="214"/>
      <c r="F5" s="214"/>
      <c r="G5" s="214"/>
      <c r="H5" s="214"/>
    </row>
    <row r="6" spans="1:8" ht="15.75">
      <c r="A6" s="214" t="s">
        <v>31</v>
      </c>
      <c r="B6" s="214"/>
      <c r="C6" s="214"/>
      <c r="D6" s="214"/>
      <c r="E6" s="214"/>
      <c r="F6" s="214"/>
      <c r="G6" s="214"/>
      <c r="H6" s="214"/>
    </row>
    <row r="7" spans="1:8" ht="15.75">
      <c r="A7" s="209" t="s">
        <v>622</v>
      </c>
      <c r="B7" s="209"/>
      <c r="C7" s="209"/>
      <c r="D7" s="209"/>
      <c r="E7" s="209"/>
      <c r="F7" s="209"/>
      <c r="G7" s="209"/>
      <c r="H7" s="209"/>
    </row>
    <row r="8" spans="1:8" ht="15.75">
      <c r="A8" s="209" t="s">
        <v>988</v>
      </c>
      <c r="B8" s="209"/>
      <c r="C8" s="209"/>
      <c r="D8" s="209"/>
      <c r="E8" s="209"/>
      <c r="F8" s="209"/>
      <c r="G8" s="209"/>
      <c r="H8" s="209"/>
    </row>
    <row r="9" spans="1:8" ht="15.75">
      <c r="A9" s="98"/>
      <c r="B9" s="41"/>
      <c r="C9" s="41"/>
      <c r="D9" s="33"/>
      <c r="E9" s="95"/>
      <c r="F9" s="95"/>
      <c r="G9" s="95"/>
      <c r="H9" s="95"/>
    </row>
    <row r="10" spans="1:8" ht="15.75" customHeight="1">
      <c r="A10" s="245" t="s">
        <v>723</v>
      </c>
      <c r="B10" s="245"/>
      <c r="C10" s="245"/>
      <c r="D10" s="245"/>
      <c r="E10" s="245"/>
      <c r="F10" s="245"/>
      <c r="G10" s="245"/>
      <c r="H10" s="245"/>
    </row>
    <row r="11" spans="1:8" ht="15.75" customHeight="1">
      <c r="A11" s="245" t="s">
        <v>488</v>
      </c>
      <c r="B11" s="245"/>
      <c r="C11" s="245"/>
      <c r="D11" s="245"/>
      <c r="E11" s="245"/>
      <c r="F11" s="245"/>
      <c r="G11" s="245"/>
      <c r="H11" s="245"/>
    </row>
    <row r="12" spans="1:8" ht="15.75">
      <c r="A12" s="99"/>
      <c r="B12" s="34"/>
      <c r="C12" s="34"/>
      <c r="D12" s="34"/>
      <c r="E12" s="34"/>
      <c r="F12" s="34"/>
      <c r="G12" s="34"/>
      <c r="H12" s="34"/>
    </row>
    <row r="13" spans="1:8" ht="15.75">
      <c r="A13" s="98"/>
      <c r="B13" s="41"/>
      <c r="C13" s="41"/>
      <c r="D13" s="33"/>
      <c r="E13" s="214" t="s">
        <v>2</v>
      </c>
      <c r="F13" s="214"/>
      <c r="G13" s="214"/>
      <c r="H13" s="214"/>
    </row>
    <row r="14" spans="1:8" ht="15.75">
      <c r="A14" s="232" t="s">
        <v>49</v>
      </c>
      <c r="B14" s="232" t="s">
        <v>379</v>
      </c>
      <c r="C14" s="232" t="s">
        <v>381</v>
      </c>
      <c r="D14" s="246" t="s">
        <v>382</v>
      </c>
      <c r="E14" s="248" t="s">
        <v>380</v>
      </c>
      <c r="F14" s="250" t="s">
        <v>5</v>
      </c>
      <c r="G14" s="250"/>
      <c r="H14" s="250"/>
    </row>
    <row r="15" spans="1:8" ht="47.25" customHeight="1">
      <c r="A15" s="233"/>
      <c r="B15" s="233"/>
      <c r="C15" s="233"/>
      <c r="D15" s="247"/>
      <c r="E15" s="249"/>
      <c r="F15" s="46" t="s">
        <v>514</v>
      </c>
      <c r="G15" s="46" t="s">
        <v>552</v>
      </c>
      <c r="H15" s="46" t="s">
        <v>664</v>
      </c>
    </row>
    <row r="16" spans="1:8" ht="18" customHeight="1">
      <c r="A16" s="100">
        <v>1</v>
      </c>
      <c r="B16" s="49">
        <v>2</v>
      </c>
      <c r="C16" s="49">
        <v>3</v>
      </c>
      <c r="D16" s="101" t="s">
        <v>122</v>
      </c>
      <c r="E16" s="102" t="s">
        <v>94</v>
      </c>
      <c r="F16" s="101" t="s">
        <v>123</v>
      </c>
      <c r="G16" s="101" t="s">
        <v>115</v>
      </c>
      <c r="H16" s="101" t="s">
        <v>489</v>
      </c>
    </row>
    <row r="17" spans="1:8" ht="63">
      <c r="A17" s="50" t="s">
        <v>932</v>
      </c>
      <c r="B17" s="46" t="s">
        <v>369</v>
      </c>
      <c r="C17" s="46"/>
      <c r="D17" s="46"/>
      <c r="E17" s="103"/>
      <c r="F17" s="93">
        <f>F18+F76+F104+F127+F97</f>
        <v>240744.09999999995</v>
      </c>
      <c r="G17" s="93">
        <f>G18+G76+G104+G127+G97</f>
        <v>243143.3</v>
      </c>
      <c r="H17" s="93">
        <f>H18+H76+H104+H127+H97</f>
        <v>246412</v>
      </c>
    </row>
    <row r="18" spans="1:8" ht="31.5">
      <c r="A18" s="40" t="s">
        <v>112</v>
      </c>
      <c r="B18" s="43" t="s">
        <v>156</v>
      </c>
      <c r="C18" s="43"/>
      <c r="D18" s="43"/>
      <c r="E18" s="74"/>
      <c r="F18" s="45">
        <f>F20+F23+F51+F62+F46+F19+F70+F67+F73</f>
        <v>165123.19999999995</v>
      </c>
      <c r="G18" s="45">
        <f>G20+G23+G51+G62+G46+G19+G70+G67+G73</f>
        <v>165954.8</v>
      </c>
      <c r="H18" s="45">
        <f>H20+H23+H51+H62+H46+H19+H70+H67+H73</f>
        <v>167241.1</v>
      </c>
    </row>
    <row r="19" spans="1:8" ht="47.25" hidden="1">
      <c r="A19" s="40" t="s">
        <v>701</v>
      </c>
      <c r="B19" s="43" t="s">
        <v>286</v>
      </c>
      <c r="C19" s="43"/>
      <c r="D19" s="43"/>
      <c r="E19" s="74"/>
      <c r="F19" s="45">
        <v>0</v>
      </c>
      <c r="G19" s="45">
        <v>0</v>
      </c>
      <c r="H19" s="45">
        <v>0</v>
      </c>
    </row>
    <row r="20" spans="1:8" ht="66" customHeight="1">
      <c r="A20" s="40" t="s">
        <v>125</v>
      </c>
      <c r="B20" s="43" t="s">
        <v>168</v>
      </c>
      <c r="C20" s="43"/>
      <c r="D20" s="43"/>
      <c r="E20" s="74"/>
      <c r="F20" s="45">
        <f aca="true" t="shared" si="0" ref="F20:H21">F21</f>
        <v>15.6</v>
      </c>
      <c r="G20" s="45">
        <f t="shared" si="0"/>
        <v>15.6</v>
      </c>
      <c r="H20" s="45">
        <f t="shared" si="0"/>
        <v>15.6</v>
      </c>
    </row>
    <row r="21" spans="1:8" ht="110.25">
      <c r="A21" s="40" t="s">
        <v>289</v>
      </c>
      <c r="B21" s="43" t="s">
        <v>126</v>
      </c>
      <c r="C21" s="43" t="s">
        <v>59</v>
      </c>
      <c r="D21" s="43" t="s">
        <v>65</v>
      </c>
      <c r="E21" s="74"/>
      <c r="F21" s="45">
        <f>F22</f>
        <v>15.6</v>
      </c>
      <c r="G21" s="45">
        <f t="shared" si="0"/>
        <v>15.6</v>
      </c>
      <c r="H21" s="45">
        <f t="shared" si="0"/>
        <v>15.6</v>
      </c>
    </row>
    <row r="22" spans="1:8" ht="32.25" customHeight="1">
      <c r="A22" s="40" t="s">
        <v>221</v>
      </c>
      <c r="B22" s="43" t="s">
        <v>126</v>
      </c>
      <c r="C22" s="43" t="s">
        <v>59</v>
      </c>
      <c r="D22" s="43" t="s">
        <v>65</v>
      </c>
      <c r="E22" s="74" t="s">
        <v>222</v>
      </c>
      <c r="F22" s="45">
        <v>15.6</v>
      </c>
      <c r="G22" s="45">
        <v>15.6</v>
      </c>
      <c r="H22" s="45">
        <v>15.6</v>
      </c>
    </row>
    <row r="23" spans="1:8" ht="81.75" customHeight="1">
      <c r="A23" s="40" t="s">
        <v>702</v>
      </c>
      <c r="B23" s="43" t="s">
        <v>155</v>
      </c>
      <c r="C23" s="43"/>
      <c r="D23" s="43"/>
      <c r="E23" s="74"/>
      <c r="F23" s="45">
        <f>F24+F26+F40+F34+F36+F32+F38+F42+F30+F44+F28</f>
        <v>148966.19999999998</v>
      </c>
      <c r="G23" s="45">
        <f>G24+G26+G40+G34+G36+G32+G38+G42+G30+G44</f>
        <v>145199.8</v>
      </c>
      <c r="H23" s="45">
        <f>H24+H26+H40+H34+H36+H32+H38+H42+H30+H44</f>
        <v>150173.6</v>
      </c>
    </row>
    <row r="24" spans="1:8" ht="18.75" customHeight="1">
      <c r="A24" s="40" t="s">
        <v>113</v>
      </c>
      <c r="B24" s="43" t="s">
        <v>157</v>
      </c>
      <c r="C24" s="43" t="s">
        <v>59</v>
      </c>
      <c r="D24" s="43" t="s">
        <v>54</v>
      </c>
      <c r="E24" s="74"/>
      <c r="F24" s="45">
        <f>F25</f>
        <v>12134</v>
      </c>
      <c r="G24" s="45">
        <f>G25</f>
        <v>10294.7</v>
      </c>
      <c r="H24" s="45">
        <f>H25</f>
        <v>10178.2</v>
      </c>
    </row>
    <row r="25" spans="1:8" ht="15.75">
      <c r="A25" s="40" t="s">
        <v>110</v>
      </c>
      <c r="B25" s="43" t="s">
        <v>157</v>
      </c>
      <c r="C25" s="43" t="s">
        <v>59</v>
      </c>
      <c r="D25" s="43" t="s">
        <v>54</v>
      </c>
      <c r="E25" s="74" t="s">
        <v>111</v>
      </c>
      <c r="F25" s="45">
        <v>12134</v>
      </c>
      <c r="G25" s="45">
        <v>10294.7</v>
      </c>
      <c r="H25" s="45">
        <v>10178.2</v>
      </c>
    </row>
    <row r="26" spans="1:8" ht="31.5">
      <c r="A26" s="40" t="s">
        <v>114</v>
      </c>
      <c r="B26" s="43" t="s">
        <v>158</v>
      </c>
      <c r="C26" s="43" t="s">
        <v>59</v>
      </c>
      <c r="D26" s="43" t="s">
        <v>52</v>
      </c>
      <c r="E26" s="74"/>
      <c r="F26" s="45">
        <f>F27</f>
        <v>36131.299999999996</v>
      </c>
      <c r="G26" s="45">
        <f>G27</f>
        <v>34840.799999999996</v>
      </c>
      <c r="H26" s="45">
        <f>H27</f>
        <v>34614.4</v>
      </c>
    </row>
    <row r="27" spans="1:8" ht="15.75">
      <c r="A27" s="40" t="s">
        <v>110</v>
      </c>
      <c r="B27" s="43" t="s">
        <v>158</v>
      </c>
      <c r="C27" s="43" t="s">
        <v>59</v>
      </c>
      <c r="D27" s="43" t="s">
        <v>52</v>
      </c>
      <c r="E27" s="74" t="s">
        <v>111</v>
      </c>
      <c r="F27" s="45">
        <v>36131.299999999996</v>
      </c>
      <c r="G27" s="45">
        <f>34846.7-5.9</f>
        <v>34840.799999999996</v>
      </c>
      <c r="H27" s="45">
        <f>34620.3-5.9</f>
        <v>34614.4</v>
      </c>
    </row>
    <row r="28" spans="1:8" ht="31.5">
      <c r="A28" s="40" t="s">
        <v>114</v>
      </c>
      <c r="B28" s="43" t="s">
        <v>158</v>
      </c>
      <c r="C28" s="43" t="s">
        <v>59</v>
      </c>
      <c r="D28" s="43" t="s">
        <v>69</v>
      </c>
      <c r="E28" s="74"/>
      <c r="F28" s="45">
        <f>F29</f>
        <v>3.6</v>
      </c>
      <c r="G28" s="45"/>
      <c r="H28" s="45"/>
    </row>
    <row r="29" spans="1:8" ht="15.75">
      <c r="A29" s="40" t="s">
        <v>110</v>
      </c>
      <c r="B29" s="43" t="s">
        <v>158</v>
      </c>
      <c r="C29" s="43" t="s">
        <v>59</v>
      </c>
      <c r="D29" s="43" t="s">
        <v>69</v>
      </c>
      <c r="E29" s="74" t="s">
        <v>111</v>
      </c>
      <c r="F29" s="45">
        <v>3.6</v>
      </c>
      <c r="G29" s="45"/>
      <c r="H29" s="45"/>
    </row>
    <row r="30" spans="1:8" ht="36.75" customHeight="1">
      <c r="A30" s="40" t="s">
        <v>114</v>
      </c>
      <c r="B30" s="43" t="s">
        <v>158</v>
      </c>
      <c r="C30" s="43" t="s">
        <v>86</v>
      </c>
      <c r="D30" s="43" t="s">
        <v>54</v>
      </c>
      <c r="E30" s="43"/>
      <c r="F30" s="45">
        <f>F31</f>
        <v>29.1</v>
      </c>
      <c r="G30" s="45">
        <f>G31</f>
        <v>27.3</v>
      </c>
      <c r="H30" s="45">
        <f>H31</f>
        <v>27.3</v>
      </c>
    </row>
    <row r="31" spans="1:8" ht="15.75">
      <c r="A31" s="40" t="s">
        <v>110</v>
      </c>
      <c r="B31" s="43" t="s">
        <v>158</v>
      </c>
      <c r="C31" s="43" t="s">
        <v>86</v>
      </c>
      <c r="D31" s="43" t="s">
        <v>54</v>
      </c>
      <c r="E31" s="43" t="s">
        <v>111</v>
      </c>
      <c r="F31" s="45">
        <v>29.1</v>
      </c>
      <c r="G31" s="45">
        <v>27.3</v>
      </c>
      <c r="H31" s="45">
        <v>27.3</v>
      </c>
    </row>
    <row r="32" spans="1:8" ht="217.5" customHeight="1">
      <c r="A32" s="40" t="s">
        <v>498</v>
      </c>
      <c r="B32" s="43" t="s">
        <v>499</v>
      </c>
      <c r="C32" s="43" t="s">
        <v>59</v>
      </c>
      <c r="D32" s="43" t="s">
        <v>52</v>
      </c>
      <c r="E32" s="43"/>
      <c r="F32" s="45">
        <f>F33</f>
        <v>6378.5</v>
      </c>
      <c r="G32" s="45">
        <f>G33</f>
        <v>6378.5</v>
      </c>
      <c r="H32" s="45">
        <f>H33</f>
        <v>6378.5</v>
      </c>
    </row>
    <row r="33" spans="1:8" ht="15.75">
      <c r="A33" s="40" t="s">
        <v>110</v>
      </c>
      <c r="B33" s="43" t="s">
        <v>499</v>
      </c>
      <c r="C33" s="43" t="s">
        <v>59</v>
      </c>
      <c r="D33" s="43" t="s">
        <v>52</v>
      </c>
      <c r="E33" s="43" t="s">
        <v>111</v>
      </c>
      <c r="F33" s="45">
        <v>6378.5</v>
      </c>
      <c r="G33" s="45">
        <v>6378.5</v>
      </c>
      <c r="H33" s="45">
        <v>6378.5</v>
      </c>
    </row>
    <row r="34" spans="1:8" ht="47.25">
      <c r="A34" s="40" t="s">
        <v>462</v>
      </c>
      <c r="B34" s="43" t="s">
        <v>475</v>
      </c>
      <c r="C34" s="43" t="s">
        <v>59</v>
      </c>
      <c r="D34" s="43" t="s">
        <v>52</v>
      </c>
      <c r="E34" s="43"/>
      <c r="F34" s="45">
        <f>F35</f>
        <v>7179.8</v>
      </c>
      <c r="G34" s="45">
        <f>G35</f>
        <v>7552.6</v>
      </c>
      <c r="H34" s="45">
        <f>H35</f>
        <v>7935.2</v>
      </c>
    </row>
    <row r="35" spans="1:8" ht="15.75">
      <c r="A35" s="40" t="s">
        <v>110</v>
      </c>
      <c r="B35" s="43" t="s">
        <v>475</v>
      </c>
      <c r="C35" s="43" t="s">
        <v>59</v>
      </c>
      <c r="D35" s="43" t="s">
        <v>52</v>
      </c>
      <c r="E35" s="43" t="s">
        <v>111</v>
      </c>
      <c r="F35" s="45">
        <v>7179.8</v>
      </c>
      <c r="G35" s="45">
        <v>7552.6</v>
      </c>
      <c r="H35" s="45">
        <v>7935.2</v>
      </c>
    </row>
    <row r="36" spans="1:8" ht="47.25">
      <c r="A36" s="40" t="s">
        <v>462</v>
      </c>
      <c r="B36" s="43" t="s">
        <v>475</v>
      </c>
      <c r="C36" s="43" t="s">
        <v>59</v>
      </c>
      <c r="D36" s="43" t="s">
        <v>54</v>
      </c>
      <c r="E36" s="74"/>
      <c r="F36" s="45">
        <f>F37</f>
        <v>2187.4</v>
      </c>
      <c r="G36" s="45">
        <f>G37</f>
        <v>2300.4</v>
      </c>
      <c r="H36" s="45">
        <f>H37</f>
        <v>2416.9</v>
      </c>
    </row>
    <row r="37" spans="1:8" ht="15.75">
      <c r="A37" s="40" t="s">
        <v>110</v>
      </c>
      <c r="B37" s="43" t="s">
        <v>475</v>
      </c>
      <c r="C37" s="43" t="s">
        <v>59</v>
      </c>
      <c r="D37" s="43" t="s">
        <v>54</v>
      </c>
      <c r="E37" s="74" t="s">
        <v>111</v>
      </c>
      <c r="F37" s="45">
        <v>2187.4</v>
      </c>
      <c r="G37" s="45">
        <v>2300.4</v>
      </c>
      <c r="H37" s="45">
        <v>2416.9</v>
      </c>
    </row>
    <row r="38" spans="1:8" ht="47.25">
      <c r="A38" s="40" t="s">
        <v>462</v>
      </c>
      <c r="B38" s="43" t="s">
        <v>475</v>
      </c>
      <c r="C38" s="43" t="s">
        <v>86</v>
      </c>
      <c r="D38" s="43" t="s">
        <v>54</v>
      </c>
      <c r="E38" s="43"/>
      <c r="F38" s="45">
        <f>F39</f>
        <v>1.8</v>
      </c>
      <c r="G38" s="45"/>
      <c r="H38" s="45"/>
    </row>
    <row r="39" spans="1:8" ht="15.75">
      <c r="A39" s="40" t="s">
        <v>110</v>
      </c>
      <c r="B39" s="43" t="s">
        <v>475</v>
      </c>
      <c r="C39" s="43" t="s">
        <v>86</v>
      </c>
      <c r="D39" s="43" t="s">
        <v>54</v>
      </c>
      <c r="E39" s="43" t="s">
        <v>111</v>
      </c>
      <c r="F39" s="45">
        <v>1.8</v>
      </c>
      <c r="G39" s="45"/>
      <c r="H39" s="45"/>
    </row>
    <row r="40" spans="1:8" ht="63">
      <c r="A40" s="40" t="s">
        <v>161</v>
      </c>
      <c r="B40" s="43" t="s">
        <v>159</v>
      </c>
      <c r="C40" s="43" t="s">
        <v>59</v>
      </c>
      <c r="D40" s="43" t="s">
        <v>52</v>
      </c>
      <c r="E40" s="74"/>
      <c r="F40" s="45">
        <f>F41</f>
        <v>79044.3</v>
      </c>
      <c r="G40" s="45">
        <f>G41</f>
        <v>83805.5</v>
      </c>
      <c r="H40" s="45">
        <f>H41</f>
        <v>88623.1</v>
      </c>
    </row>
    <row r="41" spans="1:8" ht="15.75">
      <c r="A41" s="40" t="s">
        <v>110</v>
      </c>
      <c r="B41" s="43" t="s">
        <v>159</v>
      </c>
      <c r="C41" s="43" t="s">
        <v>59</v>
      </c>
      <c r="D41" s="43" t="s">
        <v>52</v>
      </c>
      <c r="E41" s="74" t="s">
        <v>111</v>
      </c>
      <c r="F41" s="45">
        <f>66022.7+10665.1+812.5+1544</f>
        <v>79044.3</v>
      </c>
      <c r="G41" s="45">
        <f>70820.3+10628.7+812.5+1544</f>
        <v>83805.5</v>
      </c>
      <c r="H41" s="45">
        <f>75630.3+10636.3+812.5+1544</f>
        <v>88623.1</v>
      </c>
    </row>
    <row r="42" spans="1:8" ht="63" hidden="1">
      <c r="A42" s="40" t="s">
        <v>161</v>
      </c>
      <c r="B42" s="43" t="s">
        <v>159</v>
      </c>
      <c r="C42" s="43" t="s">
        <v>86</v>
      </c>
      <c r="D42" s="43" t="s">
        <v>54</v>
      </c>
      <c r="E42" s="43"/>
      <c r="F42" s="45">
        <f>F43</f>
        <v>0</v>
      </c>
      <c r="G42" s="45"/>
      <c r="H42" s="45"/>
    </row>
    <row r="43" spans="1:8" ht="15.75" hidden="1">
      <c r="A43" s="40" t="s">
        <v>110</v>
      </c>
      <c r="B43" s="43" t="s">
        <v>159</v>
      </c>
      <c r="C43" s="43" t="s">
        <v>86</v>
      </c>
      <c r="D43" s="43" t="s">
        <v>54</v>
      </c>
      <c r="E43" s="43" t="s">
        <v>111</v>
      </c>
      <c r="F43" s="45">
        <v>0</v>
      </c>
      <c r="G43" s="45"/>
      <c r="H43" s="45"/>
    </row>
    <row r="44" spans="1:8" ht="78.75">
      <c r="A44" s="40" t="s">
        <v>1025</v>
      </c>
      <c r="B44" s="43" t="s">
        <v>994</v>
      </c>
      <c r="C44" s="43" t="s">
        <v>59</v>
      </c>
      <c r="D44" s="43" t="s">
        <v>54</v>
      </c>
      <c r="E44" s="43"/>
      <c r="F44" s="45">
        <f>F45</f>
        <v>5876.400000000001</v>
      </c>
      <c r="G44" s="45">
        <f>G45</f>
        <v>0</v>
      </c>
      <c r="H44" s="45">
        <f>H45</f>
        <v>0</v>
      </c>
    </row>
    <row r="45" spans="1:8" ht="15.75">
      <c r="A45" s="40" t="s">
        <v>110</v>
      </c>
      <c r="B45" s="43" t="s">
        <v>994</v>
      </c>
      <c r="C45" s="43" t="s">
        <v>59</v>
      </c>
      <c r="D45" s="43" t="s">
        <v>54</v>
      </c>
      <c r="E45" s="43" t="s">
        <v>111</v>
      </c>
      <c r="F45" s="45">
        <f>5817.6+58.8</f>
        <v>5876.400000000001</v>
      </c>
      <c r="G45" s="45">
        <v>0</v>
      </c>
      <c r="H45" s="45">
        <v>0</v>
      </c>
    </row>
    <row r="46" spans="1:8" ht="78.75">
      <c r="A46" s="40" t="s">
        <v>385</v>
      </c>
      <c r="B46" s="43" t="s">
        <v>386</v>
      </c>
      <c r="C46" s="43" t="s">
        <v>59</v>
      </c>
      <c r="D46" s="43" t="s">
        <v>54</v>
      </c>
      <c r="E46" s="74"/>
      <c r="F46" s="45">
        <f>F47+F49</f>
        <v>1657.3000000000002</v>
      </c>
      <c r="G46" s="45">
        <f>G47+G49</f>
        <v>4465.4</v>
      </c>
      <c r="H46" s="45">
        <f>H47+H49</f>
        <v>4465.4</v>
      </c>
    </row>
    <row r="47" spans="1:8" ht="31.5">
      <c r="A47" s="37" t="s">
        <v>218</v>
      </c>
      <c r="B47" s="43" t="s">
        <v>388</v>
      </c>
      <c r="C47" s="43" t="s">
        <v>59</v>
      </c>
      <c r="D47" s="43" t="s">
        <v>54</v>
      </c>
      <c r="E47" s="74"/>
      <c r="F47" s="45">
        <f>F48</f>
        <v>122.4</v>
      </c>
      <c r="G47" s="45">
        <f>G48</f>
        <v>122.4</v>
      </c>
      <c r="H47" s="45">
        <f>H48</f>
        <v>122.4</v>
      </c>
    </row>
    <row r="48" spans="1:8" ht="47.25">
      <c r="A48" s="40" t="s">
        <v>147</v>
      </c>
      <c r="B48" s="43" t="s">
        <v>388</v>
      </c>
      <c r="C48" s="43" t="s">
        <v>59</v>
      </c>
      <c r="D48" s="43" t="s">
        <v>54</v>
      </c>
      <c r="E48" s="74" t="s">
        <v>219</v>
      </c>
      <c r="F48" s="45">
        <v>122.4</v>
      </c>
      <c r="G48" s="45">
        <v>122.4</v>
      </c>
      <c r="H48" s="45">
        <v>122.4</v>
      </c>
    </row>
    <row r="49" spans="1:8" ht="63">
      <c r="A49" s="40" t="s">
        <v>387</v>
      </c>
      <c r="B49" s="43" t="s">
        <v>389</v>
      </c>
      <c r="C49" s="43" t="s">
        <v>59</v>
      </c>
      <c r="D49" s="43" t="s">
        <v>54</v>
      </c>
      <c r="E49" s="74"/>
      <c r="F49" s="45">
        <f>F50</f>
        <v>1534.9</v>
      </c>
      <c r="G49" s="45">
        <f>G50</f>
        <v>4343</v>
      </c>
      <c r="H49" s="45">
        <f>H50</f>
        <v>4343</v>
      </c>
    </row>
    <row r="50" spans="1:8" ht="47.25">
      <c r="A50" s="40" t="s">
        <v>147</v>
      </c>
      <c r="B50" s="43" t="s">
        <v>389</v>
      </c>
      <c r="C50" s="43" t="s">
        <v>59</v>
      </c>
      <c r="D50" s="43" t="s">
        <v>54</v>
      </c>
      <c r="E50" s="74" t="s">
        <v>219</v>
      </c>
      <c r="F50" s="45">
        <v>1534.9</v>
      </c>
      <c r="G50" s="45">
        <v>4343</v>
      </c>
      <c r="H50" s="45">
        <v>4343</v>
      </c>
    </row>
    <row r="51" spans="1:8" ht="78.75">
      <c r="A51" s="40" t="s">
        <v>162</v>
      </c>
      <c r="B51" s="43" t="s">
        <v>164</v>
      </c>
      <c r="C51" s="43"/>
      <c r="D51" s="43"/>
      <c r="E51" s="74"/>
      <c r="F51" s="45">
        <f>F52+F54+F56+F58+F60</f>
        <v>11647.400000000001</v>
      </c>
      <c r="G51" s="45">
        <f>G52+G54+G56+G58+G60</f>
        <v>11999.400000000001</v>
      </c>
      <c r="H51" s="45">
        <f>H52+H54+H56+H58+H60</f>
        <v>11945.1</v>
      </c>
    </row>
    <row r="52" spans="1:8" ht="110.25">
      <c r="A52" s="40" t="s">
        <v>289</v>
      </c>
      <c r="B52" s="43" t="s">
        <v>163</v>
      </c>
      <c r="C52" s="43" t="s">
        <v>59</v>
      </c>
      <c r="D52" s="43" t="s">
        <v>52</v>
      </c>
      <c r="E52" s="74"/>
      <c r="F52" s="45">
        <f>F53</f>
        <v>2733.1</v>
      </c>
      <c r="G52" s="45">
        <f>G53</f>
        <v>3147.1</v>
      </c>
      <c r="H52" s="45">
        <f>H53</f>
        <v>3147.1</v>
      </c>
    </row>
    <row r="53" spans="1:8" ht="15.75">
      <c r="A53" s="40" t="s">
        <v>110</v>
      </c>
      <c r="B53" s="43" t="s">
        <v>163</v>
      </c>
      <c r="C53" s="43" t="s">
        <v>59</v>
      </c>
      <c r="D53" s="43" t="s">
        <v>52</v>
      </c>
      <c r="E53" s="74" t="s">
        <v>111</v>
      </c>
      <c r="F53" s="45">
        <v>2733.1</v>
      </c>
      <c r="G53" s="45">
        <v>3147.1</v>
      </c>
      <c r="H53" s="45">
        <v>3147.1</v>
      </c>
    </row>
    <row r="54" spans="1:8" ht="110.25">
      <c r="A54" s="40" t="s">
        <v>289</v>
      </c>
      <c r="B54" s="43" t="s">
        <v>163</v>
      </c>
      <c r="C54" s="43" t="s">
        <v>86</v>
      </c>
      <c r="D54" s="43" t="s">
        <v>54</v>
      </c>
      <c r="E54" s="74"/>
      <c r="F54" s="45">
        <f>F55</f>
        <v>1322.6</v>
      </c>
      <c r="G54" s="45">
        <f>G55</f>
        <v>1260.6</v>
      </c>
      <c r="H54" s="45">
        <f>H55</f>
        <v>1260.6</v>
      </c>
    </row>
    <row r="55" spans="1:8" ht="15.75">
      <c r="A55" s="40" t="s">
        <v>110</v>
      </c>
      <c r="B55" s="43" t="s">
        <v>163</v>
      </c>
      <c r="C55" s="43" t="s">
        <v>86</v>
      </c>
      <c r="D55" s="43" t="s">
        <v>54</v>
      </c>
      <c r="E55" s="74" t="s">
        <v>111</v>
      </c>
      <c r="F55" s="45">
        <v>1322.6</v>
      </c>
      <c r="G55" s="45">
        <v>1260.6</v>
      </c>
      <c r="H55" s="45">
        <v>1260.6</v>
      </c>
    </row>
    <row r="56" spans="1:8" ht="63">
      <c r="A56" s="40" t="s">
        <v>494</v>
      </c>
      <c r="B56" s="43" t="s">
        <v>497</v>
      </c>
      <c r="C56" s="43" t="s">
        <v>59</v>
      </c>
      <c r="D56" s="43" t="s">
        <v>52</v>
      </c>
      <c r="E56" s="43"/>
      <c r="F56" s="45">
        <f>F57</f>
        <v>5424</v>
      </c>
      <c r="G56" s="45">
        <f>G57</f>
        <v>5424</v>
      </c>
      <c r="H56" s="45">
        <f>H57</f>
        <v>5369.7</v>
      </c>
    </row>
    <row r="57" spans="1:8" ht="15.75">
      <c r="A57" s="40" t="s">
        <v>110</v>
      </c>
      <c r="B57" s="43" t="s">
        <v>497</v>
      </c>
      <c r="C57" s="43" t="s">
        <v>59</v>
      </c>
      <c r="D57" s="43" t="s">
        <v>52</v>
      </c>
      <c r="E57" s="43" t="s">
        <v>111</v>
      </c>
      <c r="F57" s="45">
        <f>4092.9+1222.6+108.5</f>
        <v>5424</v>
      </c>
      <c r="G57" s="45">
        <f>4092.9+1222.6+108.5</f>
        <v>5424</v>
      </c>
      <c r="H57" s="45">
        <f>5262.3+107.4</f>
        <v>5369.7</v>
      </c>
    </row>
    <row r="58" spans="1:8" ht="94.5">
      <c r="A58" s="40" t="s">
        <v>617</v>
      </c>
      <c r="B58" s="43" t="s">
        <v>618</v>
      </c>
      <c r="C58" s="43" t="s">
        <v>59</v>
      </c>
      <c r="D58" s="43" t="s">
        <v>52</v>
      </c>
      <c r="E58" s="43"/>
      <c r="F58" s="45">
        <f>F59</f>
        <v>1914.2</v>
      </c>
      <c r="G58" s="45">
        <f>G59</f>
        <v>1914.2</v>
      </c>
      <c r="H58" s="45">
        <f>H59</f>
        <v>1914.2</v>
      </c>
    </row>
    <row r="59" spans="1:8" ht="15.75">
      <c r="A59" s="40" t="s">
        <v>110</v>
      </c>
      <c r="B59" s="43" t="s">
        <v>618</v>
      </c>
      <c r="C59" s="43" t="s">
        <v>59</v>
      </c>
      <c r="D59" s="43" t="s">
        <v>52</v>
      </c>
      <c r="E59" s="43" t="s">
        <v>111</v>
      </c>
      <c r="F59" s="45">
        <f>1531.4+382.8</f>
        <v>1914.2</v>
      </c>
      <c r="G59" s="45">
        <f>1531.4+382.8</f>
        <v>1914.2</v>
      </c>
      <c r="H59" s="45">
        <f>1531.4+382.8</f>
        <v>1914.2</v>
      </c>
    </row>
    <row r="60" spans="1:8" ht="94.5">
      <c r="A60" s="40" t="s">
        <v>617</v>
      </c>
      <c r="B60" s="43" t="s">
        <v>618</v>
      </c>
      <c r="C60" s="43" t="s">
        <v>86</v>
      </c>
      <c r="D60" s="43" t="s">
        <v>54</v>
      </c>
      <c r="E60" s="43"/>
      <c r="F60" s="45">
        <f>F61</f>
        <v>253.5</v>
      </c>
      <c r="G60" s="45">
        <f>G61</f>
        <v>253.5</v>
      </c>
      <c r="H60" s="45">
        <f>H61</f>
        <v>253.5</v>
      </c>
    </row>
    <row r="61" spans="1:8" ht="15.75">
      <c r="A61" s="40" t="s">
        <v>110</v>
      </c>
      <c r="B61" s="43" t="s">
        <v>618</v>
      </c>
      <c r="C61" s="43" t="s">
        <v>86</v>
      </c>
      <c r="D61" s="43" t="s">
        <v>54</v>
      </c>
      <c r="E61" s="43" t="s">
        <v>111</v>
      </c>
      <c r="F61" s="45">
        <f>50.7+202.8</f>
        <v>253.5</v>
      </c>
      <c r="G61" s="45">
        <f>50.7+202.8</f>
        <v>253.5</v>
      </c>
      <c r="H61" s="45">
        <f>50.7+202.8</f>
        <v>253.5</v>
      </c>
    </row>
    <row r="62" spans="1:8" ht="63">
      <c r="A62" s="40" t="s">
        <v>165</v>
      </c>
      <c r="B62" s="43" t="s">
        <v>166</v>
      </c>
      <c r="C62" s="43"/>
      <c r="D62" s="43"/>
      <c r="E62" s="74"/>
      <c r="F62" s="45">
        <f>F63+F65</f>
        <v>190</v>
      </c>
      <c r="G62" s="45">
        <f>G63+G65</f>
        <v>190</v>
      </c>
      <c r="H62" s="45">
        <f>H63+H65</f>
        <v>190</v>
      </c>
    </row>
    <row r="63" spans="1:8" ht="94.5">
      <c r="A63" s="40" t="s">
        <v>191</v>
      </c>
      <c r="B63" s="43" t="s">
        <v>129</v>
      </c>
      <c r="C63" s="43" t="s">
        <v>86</v>
      </c>
      <c r="D63" s="43" t="s">
        <v>54</v>
      </c>
      <c r="E63" s="74"/>
      <c r="F63" s="45">
        <f>F64</f>
        <v>190</v>
      </c>
      <c r="G63" s="45">
        <f>G64</f>
        <v>190</v>
      </c>
      <c r="H63" s="45">
        <f>H64</f>
        <v>190</v>
      </c>
    </row>
    <row r="64" spans="1:8" ht="33.75" customHeight="1">
      <c r="A64" s="40" t="s">
        <v>221</v>
      </c>
      <c r="B64" s="43" t="s">
        <v>129</v>
      </c>
      <c r="C64" s="43" t="s">
        <v>86</v>
      </c>
      <c r="D64" s="43" t="s">
        <v>54</v>
      </c>
      <c r="E64" s="74" t="s">
        <v>222</v>
      </c>
      <c r="F64" s="45">
        <v>190</v>
      </c>
      <c r="G64" s="45">
        <v>190</v>
      </c>
      <c r="H64" s="45">
        <v>190</v>
      </c>
    </row>
    <row r="65" spans="1:8" ht="110.25" hidden="1">
      <c r="A65" s="40" t="s">
        <v>289</v>
      </c>
      <c r="B65" s="43" t="s">
        <v>167</v>
      </c>
      <c r="C65" s="43" t="s">
        <v>59</v>
      </c>
      <c r="D65" s="43" t="s">
        <v>52</v>
      </c>
      <c r="E65" s="74"/>
      <c r="F65" s="45">
        <f>F66</f>
        <v>0</v>
      </c>
      <c r="G65" s="45">
        <f>G66</f>
        <v>0</v>
      </c>
      <c r="H65" s="45">
        <f>H66</f>
        <v>0</v>
      </c>
    </row>
    <row r="66" spans="1:8" ht="15.75" hidden="1">
      <c r="A66" s="40" t="s">
        <v>110</v>
      </c>
      <c r="B66" s="43" t="s">
        <v>167</v>
      </c>
      <c r="C66" s="43" t="s">
        <v>59</v>
      </c>
      <c r="D66" s="43" t="s">
        <v>52</v>
      </c>
      <c r="E66" s="74" t="s">
        <v>111</v>
      </c>
      <c r="F66" s="45">
        <v>0</v>
      </c>
      <c r="G66" s="45">
        <v>0</v>
      </c>
      <c r="H66" s="45">
        <v>0</v>
      </c>
    </row>
    <row r="67" spans="1:8" ht="61.5" customHeight="1">
      <c r="A67" s="40" t="s">
        <v>711</v>
      </c>
      <c r="B67" s="43" t="s">
        <v>712</v>
      </c>
      <c r="C67" s="43"/>
      <c r="D67" s="43"/>
      <c r="E67" s="43"/>
      <c r="F67" s="45">
        <f aca="true" t="shared" si="1" ref="F67:H68">F68</f>
        <v>2195.2999999999997</v>
      </c>
      <c r="G67" s="45">
        <f t="shared" si="1"/>
        <v>0</v>
      </c>
      <c r="H67" s="45">
        <f t="shared" si="1"/>
        <v>0</v>
      </c>
    </row>
    <row r="68" spans="1:8" ht="120" customHeight="1">
      <c r="A68" s="40" t="s">
        <v>959</v>
      </c>
      <c r="B68" s="43" t="s">
        <v>958</v>
      </c>
      <c r="C68" s="43" t="s">
        <v>59</v>
      </c>
      <c r="D68" s="43" t="s">
        <v>65</v>
      </c>
      <c r="E68" s="43"/>
      <c r="F68" s="45">
        <f t="shared" si="1"/>
        <v>2195.2999999999997</v>
      </c>
      <c r="G68" s="45">
        <f t="shared" si="1"/>
        <v>0</v>
      </c>
      <c r="H68" s="45">
        <f t="shared" si="1"/>
        <v>0</v>
      </c>
    </row>
    <row r="69" spans="1:8" ht="47.25">
      <c r="A69" s="40" t="s">
        <v>20</v>
      </c>
      <c r="B69" s="43" t="s">
        <v>958</v>
      </c>
      <c r="C69" s="43" t="s">
        <v>59</v>
      </c>
      <c r="D69" s="43" t="s">
        <v>65</v>
      </c>
      <c r="E69" s="43" t="s">
        <v>100</v>
      </c>
      <c r="F69" s="45">
        <f>2195.1+0.2</f>
        <v>2195.2999999999997</v>
      </c>
      <c r="G69" s="45">
        <v>0</v>
      </c>
      <c r="H69" s="45">
        <v>0</v>
      </c>
    </row>
    <row r="70" spans="1:8" ht="47.25">
      <c r="A70" s="40" t="s">
        <v>432</v>
      </c>
      <c r="B70" s="43" t="s">
        <v>433</v>
      </c>
      <c r="C70" s="43"/>
      <c r="D70" s="43"/>
      <c r="E70" s="43"/>
      <c r="F70" s="45">
        <f aca="true" t="shared" si="2" ref="F70:H71">F71</f>
        <v>0</v>
      </c>
      <c r="G70" s="45">
        <f t="shared" si="2"/>
        <v>3633.2</v>
      </c>
      <c r="H70" s="45">
        <f t="shared" si="2"/>
        <v>0</v>
      </c>
    </row>
    <row r="71" spans="1:8" ht="78.75">
      <c r="A71" s="40" t="s">
        <v>955</v>
      </c>
      <c r="B71" s="43" t="s">
        <v>956</v>
      </c>
      <c r="C71" s="43" t="s">
        <v>59</v>
      </c>
      <c r="D71" s="43" t="s">
        <v>52</v>
      </c>
      <c r="E71" s="43"/>
      <c r="F71" s="45">
        <f t="shared" si="2"/>
        <v>0</v>
      </c>
      <c r="G71" s="45">
        <f t="shared" si="2"/>
        <v>3633.2</v>
      </c>
      <c r="H71" s="45">
        <f t="shared" si="2"/>
        <v>0</v>
      </c>
    </row>
    <row r="72" spans="1:8" ht="15.75">
      <c r="A72" s="40" t="s">
        <v>110</v>
      </c>
      <c r="B72" s="43" t="s">
        <v>956</v>
      </c>
      <c r="C72" s="43" t="s">
        <v>59</v>
      </c>
      <c r="D72" s="43" t="s">
        <v>52</v>
      </c>
      <c r="E72" s="43" t="s">
        <v>111</v>
      </c>
      <c r="F72" s="45">
        <v>0</v>
      </c>
      <c r="G72" s="45">
        <f>3478.1+155.1</f>
        <v>3633.2</v>
      </c>
      <c r="H72" s="45">
        <v>0</v>
      </c>
    </row>
    <row r="73" spans="1:8" ht="69.75" customHeight="1">
      <c r="A73" s="40" t="s">
        <v>967</v>
      </c>
      <c r="B73" s="43" t="s">
        <v>969</v>
      </c>
      <c r="C73" s="43"/>
      <c r="D73" s="43"/>
      <c r="E73" s="43"/>
      <c r="F73" s="45">
        <f aca="true" t="shared" si="3" ref="F73:H74">F74</f>
        <v>451.4</v>
      </c>
      <c r="G73" s="45">
        <f t="shared" si="3"/>
        <v>451.4</v>
      </c>
      <c r="H73" s="45">
        <f t="shared" si="3"/>
        <v>451.4</v>
      </c>
    </row>
    <row r="74" spans="1:8" ht="78.75">
      <c r="A74" s="40" t="s">
        <v>968</v>
      </c>
      <c r="B74" s="43" t="s">
        <v>970</v>
      </c>
      <c r="C74" s="43" t="s">
        <v>59</v>
      </c>
      <c r="D74" s="43" t="s">
        <v>52</v>
      </c>
      <c r="E74" s="43"/>
      <c r="F74" s="45">
        <f t="shared" si="3"/>
        <v>451.4</v>
      </c>
      <c r="G74" s="45">
        <f t="shared" si="3"/>
        <v>451.4</v>
      </c>
      <c r="H74" s="45">
        <f t="shared" si="3"/>
        <v>451.4</v>
      </c>
    </row>
    <row r="75" spans="1:8" ht="15.75">
      <c r="A75" s="40" t="s">
        <v>110</v>
      </c>
      <c r="B75" s="43" t="s">
        <v>970</v>
      </c>
      <c r="C75" s="43" t="s">
        <v>59</v>
      </c>
      <c r="D75" s="43" t="s">
        <v>52</v>
      </c>
      <c r="E75" s="43" t="s">
        <v>111</v>
      </c>
      <c r="F75" s="45">
        <v>451.4</v>
      </c>
      <c r="G75" s="45">
        <v>451.4</v>
      </c>
      <c r="H75" s="45">
        <v>451.4</v>
      </c>
    </row>
    <row r="76" spans="1:8" ht="78.75">
      <c r="A76" s="40" t="s">
        <v>108</v>
      </c>
      <c r="B76" s="43" t="s">
        <v>151</v>
      </c>
      <c r="C76" s="43"/>
      <c r="D76" s="43"/>
      <c r="E76" s="74"/>
      <c r="F76" s="45">
        <f>F77+F94</f>
        <v>52979.8</v>
      </c>
      <c r="G76" s="45">
        <f>G77+G94</f>
        <v>54820.7</v>
      </c>
      <c r="H76" s="45">
        <f>H77+H94</f>
        <v>56803.100000000006</v>
      </c>
    </row>
    <row r="77" spans="1:8" ht="63" customHeight="1">
      <c r="A77" s="40" t="s">
        <v>152</v>
      </c>
      <c r="B77" s="43" t="s">
        <v>153</v>
      </c>
      <c r="C77" s="43"/>
      <c r="D77" s="43"/>
      <c r="E77" s="74"/>
      <c r="F77" s="45">
        <f>F78+F90+F84+F88+F92+F82+F86+F80</f>
        <v>52619.8</v>
      </c>
      <c r="G77" s="45">
        <f>G78+G90+G84+G88+G92+G82+G86</f>
        <v>54460.7</v>
      </c>
      <c r="H77" s="45">
        <f>H78+H90+H84+H88+H92+H82+H86</f>
        <v>56443.100000000006</v>
      </c>
    </row>
    <row r="78" spans="1:8" ht="15.75">
      <c r="A78" s="40" t="s">
        <v>109</v>
      </c>
      <c r="B78" s="43" t="s">
        <v>154</v>
      </c>
      <c r="C78" s="43" t="s">
        <v>59</v>
      </c>
      <c r="D78" s="43" t="s">
        <v>51</v>
      </c>
      <c r="E78" s="74"/>
      <c r="F78" s="45">
        <f>F79</f>
        <v>8689.3</v>
      </c>
      <c r="G78" s="45">
        <f>G79</f>
        <v>8647.6</v>
      </c>
      <c r="H78" s="45">
        <f>H79</f>
        <v>8409.9</v>
      </c>
    </row>
    <row r="79" spans="1:8" ht="15.75">
      <c r="A79" s="40" t="s">
        <v>110</v>
      </c>
      <c r="B79" s="43" t="s">
        <v>154</v>
      </c>
      <c r="C79" s="43" t="s">
        <v>59</v>
      </c>
      <c r="D79" s="43" t="s">
        <v>51</v>
      </c>
      <c r="E79" s="74" t="s">
        <v>111</v>
      </c>
      <c r="F79" s="45">
        <v>8689.3</v>
      </c>
      <c r="G79" s="45">
        <v>8647.6</v>
      </c>
      <c r="H79" s="45">
        <v>8409.9</v>
      </c>
    </row>
    <row r="80" spans="1:8" ht="15.75">
      <c r="A80" s="40" t="s">
        <v>109</v>
      </c>
      <c r="B80" s="43" t="s">
        <v>154</v>
      </c>
      <c r="C80" s="43" t="s">
        <v>59</v>
      </c>
      <c r="D80" s="43" t="s">
        <v>65</v>
      </c>
      <c r="E80" s="43"/>
      <c r="F80" s="45">
        <f>F81</f>
        <v>268.5</v>
      </c>
      <c r="G80" s="45">
        <f>G81</f>
        <v>0</v>
      </c>
      <c r="H80" s="45">
        <f>H81</f>
        <v>0</v>
      </c>
    </row>
    <row r="81" spans="1:8" ht="15.75">
      <c r="A81" s="40" t="s">
        <v>110</v>
      </c>
      <c r="B81" s="43" t="s">
        <v>154</v>
      </c>
      <c r="C81" s="43" t="s">
        <v>59</v>
      </c>
      <c r="D81" s="43" t="s">
        <v>65</v>
      </c>
      <c r="E81" s="43" t="s">
        <v>111</v>
      </c>
      <c r="F81" s="45">
        <v>268.5</v>
      </c>
      <c r="G81" s="45">
        <v>0</v>
      </c>
      <c r="H81" s="45">
        <v>0</v>
      </c>
    </row>
    <row r="82" spans="1:8" ht="15.75">
      <c r="A82" s="40" t="s">
        <v>109</v>
      </c>
      <c r="B82" s="43" t="s">
        <v>154</v>
      </c>
      <c r="C82" s="43" t="s">
        <v>86</v>
      </c>
      <c r="D82" s="43" t="s">
        <v>56</v>
      </c>
      <c r="E82" s="43"/>
      <c r="F82" s="45">
        <f>F83</f>
        <v>60</v>
      </c>
      <c r="G82" s="45">
        <f>G83</f>
        <v>60</v>
      </c>
      <c r="H82" s="45">
        <f>H83</f>
        <v>60</v>
      </c>
    </row>
    <row r="83" spans="1:8" ht="15.75">
      <c r="A83" s="40" t="s">
        <v>110</v>
      </c>
      <c r="B83" s="43" t="s">
        <v>154</v>
      </c>
      <c r="C83" s="43" t="s">
        <v>86</v>
      </c>
      <c r="D83" s="43" t="s">
        <v>56</v>
      </c>
      <c r="E83" s="43" t="s">
        <v>111</v>
      </c>
      <c r="F83" s="45">
        <v>60</v>
      </c>
      <c r="G83" s="45">
        <v>60</v>
      </c>
      <c r="H83" s="45">
        <v>60</v>
      </c>
    </row>
    <row r="84" spans="1:8" ht="35.25" customHeight="1">
      <c r="A84" s="40" t="s">
        <v>114</v>
      </c>
      <c r="B84" s="43" t="s">
        <v>292</v>
      </c>
      <c r="C84" s="43" t="s">
        <v>59</v>
      </c>
      <c r="D84" s="43" t="s">
        <v>51</v>
      </c>
      <c r="E84" s="74"/>
      <c r="F84" s="45">
        <f>F85</f>
        <v>682.7</v>
      </c>
      <c r="G84" s="45">
        <f>G85</f>
        <v>629.7</v>
      </c>
      <c r="H84" s="45">
        <f>H85</f>
        <v>575</v>
      </c>
    </row>
    <row r="85" spans="1:8" ht="15.75">
      <c r="A85" s="40" t="s">
        <v>110</v>
      </c>
      <c r="B85" s="43" t="s">
        <v>292</v>
      </c>
      <c r="C85" s="43" t="s">
        <v>59</v>
      </c>
      <c r="D85" s="43" t="s">
        <v>51</v>
      </c>
      <c r="E85" s="74" t="s">
        <v>111</v>
      </c>
      <c r="F85" s="45">
        <v>682.7</v>
      </c>
      <c r="G85" s="45">
        <v>629.7</v>
      </c>
      <c r="H85" s="45">
        <v>575</v>
      </c>
    </row>
    <row r="86" spans="1:8" ht="31.5">
      <c r="A86" s="40" t="s">
        <v>114</v>
      </c>
      <c r="B86" s="43" t="s">
        <v>292</v>
      </c>
      <c r="C86" s="43" t="s">
        <v>86</v>
      </c>
      <c r="D86" s="43" t="s">
        <v>56</v>
      </c>
      <c r="E86" s="43"/>
      <c r="F86" s="45">
        <f>F87</f>
        <v>27.3</v>
      </c>
      <c r="G86" s="45">
        <f>G87</f>
        <v>27.3</v>
      </c>
      <c r="H86" s="45">
        <f>H87</f>
        <v>27.3</v>
      </c>
    </row>
    <row r="87" spans="1:8" ht="15.75">
      <c r="A87" s="40" t="s">
        <v>110</v>
      </c>
      <c r="B87" s="43" t="s">
        <v>292</v>
      </c>
      <c r="C87" s="43" t="s">
        <v>86</v>
      </c>
      <c r="D87" s="43" t="s">
        <v>56</v>
      </c>
      <c r="E87" s="43" t="s">
        <v>111</v>
      </c>
      <c r="F87" s="45">
        <v>27.3</v>
      </c>
      <c r="G87" s="45">
        <v>27.3</v>
      </c>
      <c r="H87" s="45">
        <v>27.3</v>
      </c>
    </row>
    <row r="88" spans="1:8" ht="47.25">
      <c r="A88" s="40" t="s">
        <v>462</v>
      </c>
      <c r="B88" s="43" t="s">
        <v>473</v>
      </c>
      <c r="C88" s="43" t="s">
        <v>59</v>
      </c>
      <c r="D88" s="43" t="s">
        <v>51</v>
      </c>
      <c r="E88" s="74"/>
      <c r="F88" s="45">
        <f>F89</f>
        <v>5488.5</v>
      </c>
      <c r="G88" s="45">
        <f>G89</f>
        <v>5771.7</v>
      </c>
      <c r="H88" s="45">
        <f>H89</f>
        <v>6064.1</v>
      </c>
    </row>
    <row r="89" spans="1:8" ht="15.75">
      <c r="A89" s="40" t="s">
        <v>110</v>
      </c>
      <c r="B89" s="43" t="s">
        <v>473</v>
      </c>
      <c r="C89" s="43" t="s">
        <v>59</v>
      </c>
      <c r="D89" s="43" t="s">
        <v>51</v>
      </c>
      <c r="E89" s="74" t="s">
        <v>111</v>
      </c>
      <c r="F89" s="45">
        <v>5488.5</v>
      </c>
      <c r="G89" s="45">
        <v>5771.7</v>
      </c>
      <c r="H89" s="45">
        <v>6064.1</v>
      </c>
    </row>
    <row r="90" spans="1:8" ht="63">
      <c r="A90" s="40" t="s">
        <v>161</v>
      </c>
      <c r="B90" s="43" t="s">
        <v>160</v>
      </c>
      <c r="C90" s="43" t="s">
        <v>59</v>
      </c>
      <c r="D90" s="43" t="s">
        <v>51</v>
      </c>
      <c r="E90" s="74"/>
      <c r="F90" s="45">
        <f>F91</f>
        <v>37403.5</v>
      </c>
      <c r="G90" s="45">
        <f>G91</f>
        <v>39324.4</v>
      </c>
      <c r="H90" s="45">
        <f>H91</f>
        <v>41306.8</v>
      </c>
    </row>
    <row r="91" spans="1:8" ht="15.75">
      <c r="A91" s="40" t="s">
        <v>110</v>
      </c>
      <c r="B91" s="43" t="s">
        <v>160</v>
      </c>
      <c r="C91" s="43" t="s">
        <v>59</v>
      </c>
      <c r="D91" s="43" t="s">
        <v>51</v>
      </c>
      <c r="E91" s="74" t="s">
        <v>111</v>
      </c>
      <c r="F91" s="45">
        <v>37403.5</v>
      </c>
      <c r="G91" s="45">
        <v>39324.4</v>
      </c>
      <c r="H91" s="45">
        <v>41306.8</v>
      </c>
    </row>
    <row r="92" spans="1:8" ht="63" hidden="1">
      <c r="A92" s="40" t="s">
        <v>161</v>
      </c>
      <c r="B92" s="43" t="s">
        <v>160</v>
      </c>
      <c r="C92" s="43" t="s">
        <v>86</v>
      </c>
      <c r="D92" s="43" t="s">
        <v>54</v>
      </c>
      <c r="E92" s="74"/>
      <c r="F92" s="45">
        <f>F93</f>
        <v>0</v>
      </c>
      <c r="G92" s="45"/>
      <c r="H92" s="45"/>
    </row>
    <row r="93" spans="1:8" ht="15.75" hidden="1">
      <c r="A93" s="40" t="s">
        <v>110</v>
      </c>
      <c r="B93" s="43" t="s">
        <v>160</v>
      </c>
      <c r="C93" s="43" t="s">
        <v>86</v>
      </c>
      <c r="D93" s="43" t="s">
        <v>54</v>
      </c>
      <c r="E93" s="74" t="s">
        <v>111</v>
      </c>
      <c r="F93" s="45">
        <v>0</v>
      </c>
      <c r="G93" s="45"/>
      <c r="H93" s="45"/>
    </row>
    <row r="94" spans="1:8" ht="63">
      <c r="A94" s="40" t="s">
        <v>165</v>
      </c>
      <c r="B94" s="43" t="s">
        <v>130</v>
      </c>
      <c r="C94" s="43"/>
      <c r="D94" s="43"/>
      <c r="E94" s="74"/>
      <c r="F94" s="45">
        <f aca="true" t="shared" si="4" ref="F94:H95">F95</f>
        <v>360</v>
      </c>
      <c r="G94" s="45">
        <f t="shared" si="4"/>
        <v>360</v>
      </c>
      <c r="H94" s="45">
        <f t="shared" si="4"/>
        <v>360</v>
      </c>
    </row>
    <row r="95" spans="1:8" ht="94.5">
      <c r="A95" s="40" t="s">
        <v>190</v>
      </c>
      <c r="B95" s="43" t="s">
        <v>131</v>
      </c>
      <c r="C95" s="43" t="s">
        <v>86</v>
      </c>
      <c r="D95" s="43" t="s">
        <v>54</v>
      </c>
      <c r="E95" s="74"/>
      <c r="F95" s="45">
        <f t="shared" si="4"/>
        <v>360</v>
      </c>
      <c r="G95" s="45">
        <f t="shared" si="4"/>
        <v>360</v>
      </c>
      <c r="H95" s="45">
        <f t="shared" si="4"/>
        <v>360</v>
      </c>
    </row>
    <row r="96" spans="1:8" ht="33" customHeight="1">
      <c r="A96" s="40" t="s">
        <v>221</v>
      </c>
      <c r="B96" s="43" t="s">
        <v>131</v>
      </c>
      <c r="C96" s="43" t="s">
        <v>86</v>
      </c>
      <c r="D96" s="43" t="s">
        <v>54</v>
      </c>
      <c r="E96" s="74" t="s">
        <v>222</v>
      </c>
      <c r="F96" s="45">
        <v>360</v>
      </c>
      <c r="G96" s="45">
        <v>360</v>
      </c>
      <c r="H96" s="45">
        <v>360</v>
      </c>
    </row>
    <row r="97" spans="1:8" ht="31.5">
      <c r="A97" s="40" t="s">
        <v>447</v>
      </c>
      <c r="B97" s="43" t="s">
        <v>703</v>
      </c>
      <c r="C97" s="43"/>
      <c r="D97" s="43"/>
      <c r="E97" s="43"/>
      <c r="F97" s="45">
        <f>F98+F101</f>
        <v>639</v>
      </c>
      <c r="G97" s="45">
        <f>G98+G101</f>
        <v>466</v>
      </c>
      <c r="H97" s="45">
        <f>H98+H101</f>
        <v>466</v>
      </c>
    </row>
    <row r="98" spans="1:8" ht="31.5">
      <c r="A98" s="40" t="s">
        <v>448</v>
      </c>
      <c r="B98" s="43" t="s">
        <v>704</v>
      </c>
      <c r="C98" s="43"/>
      <c r="D98" s="43"/>
      <c r="E98" s="43"/>
      <c r="F98" s="45">
        <f aca="true" t="shared" si="5" ref="F98:H99">F99</f>
        <v>639</v>
      </c>
      <c r="G98" s="45">
        <f t="shared" si="5"/>
        <v>466</v>
      </c>
      <c r="H98" s="45">
        <f t="shared" si="5"/>
        <v>466</v>
      </c>
    </row>
    <row r="99" spans="1:8" ht="31.5">
      <c r="A99" s="40" t="s">
        <v>113</v>
      </c>
      <c r="B99" s="43" t="s">
        <v>705</v>
      </c>
      <c r="C99" s="43" t="s">
        <v>61</v>
      </c>
      <c r="D99" s="43" t="s">
        <v>54</v>
      </c>
      <c r="E99" s="43"/>
      <c r="F99" s="45">
        <f t="shared" si="5"/>
        <v>639</v>
      </c>
      <c r="G99" s="45">
        <f t="shared" si="5"/>
        <v>466</v>
      </c>
      <c r="H99" s="45">
        <f t="shared" si="5"/>
        <v>466</v>
      </c>
    </row>
    <row r="100" spans="1:8" ht="15.75">
      <c r="A100" s="40" t="s">
        <v>110</v>
      </c>
      <c r="B100" s="43" t="s">
        <v>705</v>
      </c>
      <c r="C100" s="43" t="s">
        <v>61</v>
      </c>
      <c r="D100" s="43" t="s">
        <v>54</v>
      </c>
      <c r="E100" s="43" t="s">
        <v>111</v>
      </c>
      <c r="F100" s="45">
        <v>639</v>
      </c>
      <c r="G100" s="45">
        <v>466</v>
      </c>
      <c r="H100" s="45">
        <v>466</v>
      </c>
    </row>
    <row r="101" spans="1:8" ht="33" customHeight="1" hidden="1">
      <c r="A101" s="40" t="s">
        <v>449</v>
      </c>
      <c r="B101" s="43" t="s">
        <v>706</v>
      </c>
      <c r="C101" s="43"/>
      <c r="D101" s="43"/>
      <c r="E101" s="43"/>
      <c r="F101" s="45">
        <f aca="true" t="shared" si="6" ref="F101:H102">F102</f>
        <v>0</v>
      </c>
      <c r="G101" s="45">
        <f t="shared" si="6"/>
        <v>0</v>
      </c>
      <c r="H101" s="45">
        <f t="shared" si="6"/>
        <v>0</v>
      </c>
    </row>
    <row r="102" spans="1:8" ht="31.5" hidden="1">
      <c r="A102" s="40" t="s">
        <v>113</v>
      </c>
      <c r="B102" s="43" t="s">
        <v>707</v>
      </c>
      <c r="C102" s="43" t="s">
        <v>61</v>
      </c>
      <c r="D102" s="43" t="s">
        <v>54</v>
      </c>
      <c r="E102" s="43"/>
      <c r="F102" s="45">
        <f t="shared" si="6"/>
        <v>0</v>
      </c>
      <c r="G102" s="45">
        <f t="shared" si="6"/>
        <v>0</v>
      </c>
      <c r="H102" s="45">
        <f t="shared" si="6"/>
        <v>0</v>
      </c>
    </row>
    <row r="103" spans="1:8" ht="15.75" hidden="1">
      <c r="A103" s="40" t="s">
        <v>110</v>
      </c>
      <c r="B103" s="43" t="s">
        <v>707</v>
      </c>
      <c r="C103" s="43" t="s">
        <v>61</v>
      </c>
      <c r="D103" s="43" t="s">
        <v>54</v>
      </c>
      <c r="E103" s="43" t="s">
        <v>111</v>
      </c>
      <c r="F103" s="45">
        <v>0</v>
      </c>
      <c r="G103" s="45">
        <v>0</v>
      </c>
      <c r="H103" s="45">
        <v>0</v>
      </c>
    </row>
    <row r="104" spans="1:8" ht="78.75">
      <c r="A104" s="37" t="s">
        <v>933</v>
      </c>
      <c r="B104" s="43" t="s">
        <v>127</v>
      </c>
      <c r="C104" s="43"/>
      <c r="D104" s="43"/>
      <c r="E104" s="74"/>
      <c r="F104" s="45">
        <f>F105+F124</f>
        <v>21902.1</v>
      </c>
      <c r="G104" s="45">
        <f>G105+G124</f>
        <v>21801.8</v>
      </c>
      <c r="H104" s="45">
        <f>H105+H124</f>
        <v>21801.8</v>
      </c>
    </row>
    <row r="105" spans="1:8" ht="63">
      <c r="A105" s="37" t="s">
        <v>708</v>
      </c>
      <c r="B105" s="43" t="s">
        <v>128</v>
      </c>
      <c r="C105" s="43"/>
      <c r="D105" s="43"/>
      <c r="E105" s="74"/>
      <c r="F105" s="45">
        <f>F106+F112+F121+F110+F119+F117</f>
        <v>21212.5</v>
      </c>
      <c r="G105" s="45">
        <f>G106+G112+G121+G110</f>
        <v>21213.5</v>
      </c>
      <c r="H105" s="45">
        <f>H106+H112+H121+H110</f>
        <v>21213.5</v>
      </c>
    </row>
    <row r="106" spans="1:8" ht="31.5">
      <c r="A106" s="40" t="s">
        <v>95</v>
      </c>
      <c r="B106" s="43" t="s">
        <v>348</v>
      </c>
      <c r="C106" s="43" t="s">
        <v>59</v>
      </c>
      <c r="D106" s="43" t="s">
        <v>65</v>
      </c>
      <c r="E106" s="74"/>
      <c r="F106" s="45">
        <f>F107+F108+F109</f>
        <v>4344.2</v>
      </c>
      <c r="G106" s="45">
        <f>G107+G108+G109</f>
        <v>4322</v>
      </c>
      <c r="H106" s="45">
        <f>H107+H108+H109</f>
        <v>4298.2</v>
      </c>
    </row>
    <row r="107" spans="1:8" ht="31.5">
      <c r="A107" s="37" t="s">
        <v>96</v>
      </c>
      <c r="B107" s="43" t="s">
        <v>348</v>
      </c>
      <c r="C107" s="43" t="s">
        <v>59</v>
      </c>
      <c r="D107" s="43" t="s">
        <v>65</v>
      </c>
      <c r="E107" s="74" t="s">
        <v>97</v>
      </c>
      <c r="F107" s="45">
        <v>3674.7</v>
      </c>
      <c r="G107" s="45">
        <v>3651.5</v>
      </c>
      <c r="H107" s="45">
        <v>3627.7</v>
      </c>
    </row>
    <row r="108" spans="1:8" ht="47.25">
      <c r="A108" s="40" t="s">
        <v>20</v>
      </c>
      <c r="B108" s="43" t="s">
        <v>348</v>
      </c>
      <c r="C108" s="43" t="s">
        <v>59</v>
      </c>
      <c r="D108" s="43" t="s">
        <v>65</v>
      </c>
      <c r="E108" s="74" t="s">
        <v>100</v>
      </c>
      <c r="F108" s="45">
        <v>655.3</v>
      </c>
      <c r="G108" s="45">
        <v>656.3</v>
      </c>
      <c r="H108" s="45">
        <v>656.3</v>
      </c>
    </row>
    <row r="109" spans="1:8" ht="15.75">
      <c r="A109" s="40" t="s">
        <v>21</v>
      </c>
      <c r="B109" s="43" t="s">
        <v>348</v>
      </c>
      <c r="C109" s="43" t="s">
        <v>59</v>
      </c>
      <c r="D109" s="43" t="s">
        <v>65</v>
      </c>
      <c r="E109" s="74" t="s">
        <v>101</v>
      </c>
      <c r="F109" s="45">
        <v>14.2</v>
      </c>
      <c r="G109" s="45">
        <v>14.2</v>
      </c>
      <c r="H109" s="45">
        <v>14.2</v>
      </c>
    </row>
    <row r="110" spans="1:8" ht="26.25" customHeight="1" hidden="1">
      <c r="A110" s="37" t="s">
        <v>542</v>
      </c>
      <c r="B110" s="43" t="s">
        <v>543</v>
      </c>
      <c r="C110" s="43" t="s">
        <v>86</v>
      </c>
      <c r="D110" s="43" t="s">
        <v>54</v>
      </c>
      <c r="E110" s="74"/>
      <c r="F110" s="45">
        <f>F111</f>
        <v>0</v>
      </c>
      <c r="G110" s="45"/>
      <c r="H110" s="45"/>
    </row>
    <row r="111" spans="1:8" ht="31.5" hidden="1">
      <c r="A111" s="40" t="s">
        <v>229</v>
      </c>
      <c r="B111" s="43" t="s">
        <v>543</v>
      </c>
      <c r="C111" s="43" t="s">
        <v>86</v>
      </c>
      <c r="D111" s="43" t="s">
        <v>54</v>
      </c>
      <c r="E111" s="74" t="s">
        <v>230</v>
      </c>
      <c r="F111" s="45">
        <v>0</v>
      </c>
      <c r="G111" s="45"/>
      <c r="H111" s="45"/>
    </row>
    <row r="112" spans="1:8" ht="31.5">
      <c r="A112" s="124" t="s">
        <v>358</v>
      </c>
      <c r="B112" s="43" t="s">
        <v>349</v>
      </c>
      <c r="C112" s="43" t="s">
        <v>59</v>
      </c>
      <c r="D112" s="43" t="s">
        <v>65</v>
      </c>
      <c r="E112" s="74"/>
      <c r="F112" s="45">
        <f>F113+F114+F116+F115</f>
        <v>8302.9</v>
      </c>
      <c r="G112" s="45">
        <f>G113+G114+G116+G115</f>
        <v>7922.200000000001</v>
      </c>
      <c r="H112" s="45">
        <f>H113+H114+H116+H115</f>
        <v>7491.3</v>
      </c>
    </row>
    <row r="113" spans="1:8" ht="31.5">
      <c r="A113" s="40" t="s">
        <v>229</v>
      </c>
      <c r="B113" s="43" t="s">
        <v>349</v>
      </c>
      <c r="C113" s="43" t="s">
        <v>59</v>
      </c>
      <c r="D113" s="43" t="s">
        <v>65</v>
      </c>
      <c r="E113" s="74" t="s">
        <v>230</v>
      </c>
      <c r="F113" s="45">
        <v>7585.8</v>
      </c>
      <c r="G113" s="45">
        <v>7168.1</v>
      </c>
      <c r="H113" s="45">
        <v>6737.2</v>
      </c>
    </row>
    <row r="114" spans="1:8" ht="47.25">
      <c r="A114" s="40" t="s">
        <v>20</v>
      </c>
      <c r="B114" s="43" t="s">
        <v>349</v>
      </c>
      <c r="C114" s="43" t="s">
        <v>59</v>
      </c>
      <c r="D114" s="43" t="s">
        <v>65</v>
      </c>
      <c r="E114" s="74" t="s">
        <v>100</v>
      </c>
      <c r="F114" s="45">
        <v>715.1</v>
      </c>
      <c r="G114" s="45">
        <v>752.1</v>
      </c>
      <c r="H114" s="45">
        <v>752.1</v>
      </c>
    </row>
    <row r="115" spans="1:8" ht="47.25" customHeight="1" hidden="1">
      <c r="A115" s="40" t="s">
        <v>221</v>
      </c>
      <c r="B115" s="43" t="s">
        <v>349</v>
      </c>
      <c r="C115" s="43" t="s">
        <v>59</v>
      </c>
      <c r="D115" s="43" t="s">
        <v>65</v>
      </c>
      <c r="E115" s="74" t="s">
        <v>222</v>
      </c>
      <c r="F115" s="45">
        <v>0</v>
      </c>
      <c r="G115" s="45">
        <v>0</v>
      </c>
      <c r="H115" s="45">
        <v>0</v>
      </c>
    </row>
    <row r="116" spans="1:8" ht="15.75">
      <c r="A116" s="40" t="s">
        <v>21</v>
      </c>
      <c r="B116" s="43" t="s">
        <v>349</v>
      </c>
      <c r="C116" s="43" t="s">
        <v>59</v>
      </c>
      <c r="D116" s="43" t="s">
        <v>65</v>
      </c>
      <c r="E116" s="74" t="s">
        <v>101</v>
      </c>
      <c r="F116" s="45">
        <v>2</v>
      </c>
      <c r="G116" s="45">
        <v>2</v>
      </c>
      <c r="H116" s="45">
        <v>2</v>
      </c>
    </row>
    <row r="117" spans="1:8" ht="31.5">
      <c r="A117" s="124" t="s">
        <v>358</v>
      </c>
      <c r="B117" s="43" t="s">
        <v>349</v>
      </c>
      <c r="C117" s="43" t="s">
        <v>86</v>
      </c>
      <c r="D117" s="43" t="s">
        <v>54</v>
      </c>
      <c r="E117" s="43"/>
      <c r="F117" s="45">
        <f>F118</f>
        <v>37</v>
      </c>
      <c r="G117" s="45"/>
      <c r="H117" s="45"/>
    </row>
    <row r="118" spans="1:8" ht="47.25">
      <c r="A118" s="40" t="s">
        <v>221</v>
      </c>
      <c r="B118" s="43" t="s">
        <v>349</v>
      </c>
      <c r="C118" s="43" t="s">
        <v>86</v>
      </c>
      <c r="D118" s="43" t="s">
        <v>54</v>
      </c>
      <c r="E118" s="43" t="s">
        <v>222</v>
      </c>
      <c r="F118" s="45">
        <v>37</v>
      </c>
      <c r="G118" s="45"/>
      <c r="H118" s="45"/>
    </row>
    <row r="119" spans="1:8" ht="220.5" hidden="1">
      <c r="A119" s="40" t="s">
        <v>550</v>
      </c>
      <c r="B119" s="43" t="s">
        <v>551</v>
      </c>
      <c r="C119" s="43" t="s">
        <v>59</v>
      </c>
      <c r="D119" s="43" t="s">
        <v>65</v>
      </c>
      <c r="E119" s="43"/>
      <c r="F119" s="45">
        <f>F120</f>
        <v>0</v>
      </c>
      <c r="G119" s="45"/>
      <c r="H119" s="45"/>
    </row>
    <row r="120" spans="1:8" ht="31.5" hidden="1">
      <c r="A120" s="37" t="s">
        <v>96</v>
      </c>
      <c r="B120" s="43" t="s">
        <v>551</v>
      </c>
      <c r="C120" s="43" t="s">
        <v>59</v>
      </c>
      <c r="D120" s="43" t="s">
        <v>65</v>
      </c>
      <c r="E120" s="43" t="s">
        <v>97</v>
      </c>
      <c r="F120" s="45">
        <v>0</v>
      </c>
      <c r="G120" s="45"/>
      <c r="H120" s="45"/>
    </row>
    <row r="121" spans="1:8" ht="47.25">
      <c r="A121" s="40" t="s">
        <v>462</v>
      </c>
      <c r="B121" s="43" t="s">
        <v>476</v>
      </c>
      <c r="C121" s="43" t="s">
        <v>59</v>
      </c>
      <c r="D121" s="43" t="s">
        <v>65</v>
      </c>
      <c r="E121" s="43"/>
      <c r="F121" s="45">
        <f>F122+F123</f>
        <v>8528.4</v>
      </c>
      <c r="G121" s="45">
        <f>G122+G123</f>
        <v>8969.300000000001</v>
      </c>
      <c r="H121" s="45">
        <f>H122+H123</f>
        <v>9424</v>
      </c>
    </row>
    <row r="122" spans="1:8" ht="31.5">
      <c r="A122" s="40" t="s">
        <v>229</v>
      </c>
      <c r="B122" s="43" t="s">
        <v>476</v>
      </c>
      <c r="C122" s="43" t="s">
        <v>59</v>
      </c>
      <c r="D122" s="43" t="s">
        <v>65</v>
      </c>
      <c r="E122" s="43" t="s">
        <v>230</v>
      </c>
      <c r="F122" s="45">
        <v>8086.5</v>
      </c>
      <c r="G122" s="45">
        <v>8504.2</v>
      </c>
      <c r="H122" s="45">
        <v>8935.1</v>
      </c>
    </row>
    <row r="123" spans="1:8" ht="31.5">
      <c r="A123" s="37" t="s">
        <v>96</v>
      </c>
      <c r="B123" s="43" t="s">
        <v>476</v>
      </c>
      <c r="C123" s="43" t="s">
        <v>59</v>
      </c>
      <c r="D123" s="43" t="s">
        <v>65</v>
      </c>
      <c r="E123" s="43" t="s">
        <v>97</v>
      </c>
      <c r="F123" s="45">
        <v>441.9</v>
      </c>
      <c r="G123" s="45">
        <v>465.1</v>
      </c>
      <c r="H123" s="45">
        <v>488.9</v>
      </c>
    </row>
    <row r="124" spans="1:8" ht="78.75">
      <c r="A124" s="124" t="s">
        <v>971</v>
      </c>
      <c r="B124" s="43" t="s">
        <v>972</v>
      </c>
      <c r="C124" s="43"/>
      <c r="D124" s="43"/>
      <c r="E124" s="74"/>
      <c r="F124" s="45">
        <f aca="true" t="shared" si="7" ref="F124:H125">F125</f>
        <v>689.5999999999999</v>
      </c>
      <c r="G124" s="45">
        <f t="shared" si="7"/>
        <v>588.3</v>
      </c>
      <c r="H124" s="45">
        <f t="shared" si="7"/>
        <v>588.3</v>
      </c>
    </row>
    <row r="125" spans="1:8" ht="78.75">
      <c r="A125" s="40" t="s">
        <v>964</v>
      </c>
      <c r="B125" s="43" t="s">
        <v>973</v>
      </c>
      <c r="C125" s="43" t="s">
        <v>59</v>
      </c>
      <c r="D125" s="43" t="s">
        <v>65</v>
      </c>
      <c r="E125" s="74"/>
      <c r="F125" s="45">
        <f t="shared" si="7"/>
        <v>689.5999999999999</v>
      </c>
      <c r="G125" s="45">
        <f t="shared" si="7"/>
        <v>588.3</v>
      </c>
      <c r="H125" s="45">
        <f t="shared" si="7"/>
        <v>588.3</v>
      </c>
    </row>
    <row r="126" spans="1:8" ht="47.25">
      <c r="A126" s="40" t="s">
        <v>20</v>
      </c>
      <c r="B126" s="43" t="s">
        <v>973</v>
      </c>
      <c r="C126" s="43" t="s">
        <v>59</v>
      </c>
      <c r="D126" s="43" t="s">
        <v>65</v>
      </c>
      <c r="E126" s="74" t="s">
        <v>100</v>
      </c>
      <c r="F126" s="45">
        <v>689.5999999999999</v>
      </c>
      <c r="G126" s="45">
        <f>582.4+5.9</f>
        <v>588.3</v>
      </c>
      <c r="H126" s="45">
        <f>582.4+5.9</f>
        <v>588.3</v>
      </c>
    </row>
    <row r="127" spans="1:8" ht="15.75">
      <c r="A127" s="124" t="s">
        <v>121</v>
      </c>
      <c r="B127" s="43" t="s">
        <v>350</v>
      </c>
      <c r="C127" s="43"/>
      <c r="D127" s="43"/>
      <c r="E127" s="74"/>
      <c r="F127" s="45">
        <f>F128</f>
        <v>100</v>
      </c>
      <c r="G127" s="45">
        <f>G128</f>
        <v>100</v>
      </c>
      <c r="H127" s="45">
        <f>H128</f>
        <v>100</v>
      </c>
    </row>
    <row r="128" spans="1:8" ht="31.5">
      <c r="A128" s="40" t="s">
        <v>199</v>
      </c>
      <c r="B128" s="44" t="s">
        <v>351</v>
      </c>
      <c r="C128" s="43"/>
      <c r="D128" s="43"/>
      <c r="E128" s="74"/>
      <c r="F128" s="45">
        <f>F131+F129</f>
        <v>100</v>
      </c>
      <c r="G128" s="45">
        <f>G131+G129</f>
        <v>100</v>
      </c>
      <c r="H128" s="45">
        <f>H131+H129</f>
        <v>100</v>
      </c>
    </row>
    <row r="129" spans="1:8" ht="18.75" customHeight="1">
      <c r="A129" s="40" t="s">
        <v>113</v>
      </c>
      <c r="B129" s="44" t="s">
        <v>709</v>
      </c>
      <c r="C129" s="43" t="s">
        <v>59</v>
      </c>
      <c r="D129" s="43" t="s">
        <v>54</v>
      </c>
      <c r="E129" s="74"/>
      <c r="F129" s="45">
        <f>F130</f>
        <v>30</v>
      </c>
      <c r="G129" s="45">
        <f>G130</f>
        <v>30</v>
      </c>
      <c r="H129" s="45">
        <f>H130</f>
        <v>30</v>
      </c>
    </row>
    <row r="130" spans="1:8" ht="15.75">
      <c r="A130" s="40" t="s">
        <v>110</v>
      </c>
      <c r="B130" s="44" t="s">
        <v>709</v>
      </c>
      <c r="C130" s="43" t="s">
        <v>59</v>
      </c>
      <c r="D130" s="43" t="s">
        <v>54</v>
      </c>
      <c r="E130" s="74" t="s">
        <v>111</v>
      </c>
      <c r="F130" s="45">
        <v>30</v>
      </c>
      <c r="G130" s="45">
        <v>30</v>
      </c>
      <c r="H130" s="45">
        <v>30</v>
      </c>
    </row>
    <row r="131" spans="1:8" ht="31.5">
      <c r="A131" s="40" t="s">
        <v>359</v>
      </c>
      <c r="B131" s="44" t="s">
        <v>352</v>
      </c>
      <c r="C131" s="43" t="s">
        <v>59</v>
      </c>
      <c r="D131" s="43" t="s">
        <v>65</v>
      </c>
      <c r="E131" s="74"/>
      <c r="F131" s="45">
        <f>F133+F132</f>
        <v>70</v>
      </c>
      <c r="G131" s="45">
        <f>G133+G132</f>
        <v>70</v>
      </c>
      <c r="H131" s="45">
        <f>H133+H132</f>
        <v>70</v>
      </c>
    </row>
    <row r="132" spans="1:8" ht="31.5">
      <c r="A132" s="40" t="s">
        <v>96</v>
      </c>
      <c r="B132" s="44" t="s">
        <v>352</v>
      </c>
      <c r="C132" s="43" t="s">
        <v>59</v>
      </c>
      <c r="D132" s="43" t="s">
        <v>65</v>
      </c>
      <c r="E132" s="74" t="s">
        <v>97</v>
      </c>
      <c r="F132" s="45">
        <v>16.5</v>
      </c>
      <c r="G132" s="45">
        <v>16.5</v>
      </c>
      <c r="H132" s="45">
        <v>16.5</v>
      </c>
    </row>
    <row r="133" spans="1:8" ht="47.25">
      <c r="A133" s="40" t="s">
        <v>20</v>
      </c>
      <c r="B133" s="44" t="s">
        <v>352</v>
      </c>
      <c r="C133" s="43" t="s">
        <v>59</v>
      </c>
      <c r="D133" s="43" t="s">
        <v>65</v>
      </c>
      <c r="E133" s="74" t="s">
        <v>100</v>
      </c>
      <c r="F133" s="45">
        <v>53.5</v>
      </c>
      <c r="G133" s="45">
        <v>53.5</v>
      </c>
      <c r="H133" s="45">
        <v>53.5</v>
      </c>
    </row>
    <row r="134" spans="1:8" ht="78.75">
      <c r="A134" s="50" t="s">
        <v>724</v>
      </c>
      <c r="B134" s="46" t="s">
        <v>174</v>
      </c>
      <c r="C134" s="46"/>
      <c r="D134" s="46"/>
      <c r="E134" s="103"/>
      <c r="F134" s="93">
        <f>F135+F147+F169+F181+F208+F214</f>
        <v>106547.9</v>
      </c>
      <c r="G134" s="93">
        <f>G135+G147+G169+G181+G208+G214</f>
        <v>84179.4</v>
      </c>
      <c r="H134" s="93">
        <f>H135+H147+H169+H181+H208+H214</f>
        <v>81283.09999999999</v>
      </c>
    </row>
    <row r="135" spans="1:8" ht="15.75">
      <c r="A135" s="40" t="s">
        <v>362</v>
      </c>
      <c r="B135" s="43" t="s">
        <v>178</v>
      </c>
      <c r="C135" s="43"/>
      <c r="D135" s="43"/>
      <c r="E135" s="74"/>
      <c r="F135" s="45">
        <f>F136+F141+F144</f>
        <v>7427.999999999999</v>
      </c>
      <c r="G135" s="45">
        <f>G136+G141</f>
        <v>3657.5</v>
      </c>
      <c r="H135" s="45">
        <f>H136+H141</f>
        <v>3176.1</v>
      </c>
    </row>
    <row r="136" spans="1:8" ht="47.25">
      <c r="A136" s="40" t="s">
        <v>177</v>
      </c>
      <c r="B136" s="43" t="s">
        <v>179</v>
      </c>
      <c r="C136" s="43"/>
      <c r="D136" s="43"/>
      <c r="E136" s="74"/>
      <c r="F136" s="45">
        <f>F137+F139</f>
        <v>2758.2</v>
      </c>
      <c r="G136" s="45">
        <f>G137+G139</f>
        <v>2917.5</v>
      </c>
      <c r="H136" s="45">
        <f>H137+H139</f>
        <v>3036.1</v>
      </c>
    </row>
    <row r="137" spans="1:8" ht="21.75" customHeight="1">
      <c r="A137" s="40" t="s">
        <v>363</v>
      </c>
      <c r="B137" s="43" t="s">
        <v>180</v>
      </c>
      <c r="C137" s="43" t="s">
        <v>81</v>
      </c>
      <c r="D137" s="43" t="s">
        <v>51</v>
      </c>
      <c r="E137" s="74"/>
      <c r="F137" s="45">
        <f>F138</f>
        <v>1816.3999999999999</v>
      </c>
      <c r="G137" s="45">
        <f>G138</f>
        <v>1859.8</v>
      </c>
      <c r="H137" s="45">
        <f>H138</f>
        <v>1859.8</v>
      </c>
    </row>
    <row r="138" spans="1:8" ht="15.75">
      <c r="A138" s="40" t="s">
        <v>110</v>
      </c>
      <c r="B138" s="43" t="s">
        <v>180</v>
      </c>
      <c r="C138" s="43" t="s">
        <v>81</v>
      </c>
      <c r="D138" s="43" t="s">
        <v>51</v>
      </c>
      <c r="E138" s="74" t="s">
        <v>111</v>
      </c>
      <c r="F138" s="45">
        <f>1859.8-43.4</f>
        <v>1816.3999999999999</v>
      </c>
      <c r="G138" s="45">
        <v>1859.8</v>
      </c>
      <c r="H138" s="45">
        <v>1859.8</v>
      </c>
    </row>
    <row r="139" spans="1:8" ht="47.25">
      <c r="A139" s="40" t="s">
        <v>462</v>
      </c>
      <c r="B139" s="43" t="s">
        <v>466</v>
      </c>
      <c r="C139" s="43" t="s">
        <v>81</v>
      </c>
      <c r="D139" s="43" t="s">
        <v>51</v>
      </c>
      <c r="E139" s="74"/>
      <c r="F139" s="94">
        <f>F140</f>
        <v>941.8</v>
      </c>
      <c r="G139" s="94">
        <f>G140</f>
        <v>1057.7</v>
      </c>
      <c r="H139" s="94">
        <f>H140</f>
        <v>1176.3</v>
      </c>
    </row>
    <row r="140" spans="1:8" ht="15.75">
      <c r="A140" s="40" t="s">
        <v>110</v>
      </c>
      <c r="B140" s="43" t="s">
        <v>466</v>
      </c>
      <c r="C140" s="43" t="s">
        <v>81</v>
      </c>
      <c r="D140" s="43" t="s">
        <v>51</v>
      </c>
      <c r="E140" s="74" t="s">
        <v>111</v>
      </c>
      <c r="F140" s="59">
        <v>941.8</v>
      </c>
      <c r="G140" s="94">
        <v>1057.7</v>
      </c>
      <c r="H140" s="94">
        <v>1176.3</v>
      </c>
    </row>
    <row r="141" spans="1:8" ht="47.25">
      <c r="A141" s="40" t="s">
        <v>16</v>
      </c>
      <c r="B141" s="43" t="s">
        <v>17</v>
      </c>
      <c r="C141" s="43"/>
      <c r="D141" s="43"/>
      <c r="E141" s="74"/>
      <c r="F141" s="45">
        <f aca="true" t="shared" si="8" ref="F141:H142">F142</f>
        <v>330</v>
      </c>
      <c r="G141" s="45">
        <f t="shared" si="8"/>
        <v>740</v>
      </c>
      <c r="H141" s="45">
        <f t="shared" si="8"/>
        <v>140</v>
      </c>
    </row>
    <row r="142" spans="1:8" ht="15.75">
      <c r="A142" s="40" t="s">
        <v>363</v>
      </c>
      <c r="B142" s="43" t="s">
        <v>989</v>
      </c>
      <c r="C142" s="43" t="s">
        <v>86</v>
      </c>
      <c r="D142" s="43" t="s">
        <v>54</v>
      </c>
      <c r="E142" s="74"/>
      <c r="F142" s="45">
        <f t="shared" si="8"/>
        <v>330</v>
      </c>
      <c r="G142" s="45">
        <f t="shared" si="8"/>
        <v>740</v>
      </c>
      <c r="H142" s="45">
        <f t="shared" si="8"/>
        <v>140</v>
      </c>
    </row>
    <row r="143" spans="1:8" ht="15.75">
      <c r="A143" s="40" t="s">
        <v>110</v>
      </c>
      <c r="B143" s="43" t="s">
        <v>989</v>
      </c>
      <c r="C143" s="43" t="s">
        <v>86</v>
      </c>
      <c r="D143" s="43" t="s">
        <v>54</v>
      </c>
      <c r="E143" s="74" t="s">
        <v>111</v>
      </c>
      <c r="F143" s="94">
        <v>330</v>
      </c>
      <c r="G143" s="94">
        <f>440+300</f>
        <v>740</v>
      </c>
      <c r="H143" s="94">
        <f>440-300</f>
        <v>140</v>
      </c>
    </row>
    <row r="144" spans="1:8" ht="34.5" customHeight="1">
      <c r="A144" s="40" t="s">
        <v>444</v>
      </c>
      <c r="B144" s="43" t="s">
        <v>961</v>
      </c>
      <c r="C144" s="43"/>
      <c r="D144" s="43"/>
      <c r="E144" s="43"/>
      <c r="F144" s="59">
        <f>F145</f>
        <v>4339.799999999999</v>
      </c>
      <c r="G144" s="94"/>
      <c r="H144" s="94"/>
    </row>
    <row r="145" spans="1:8" ht="34.5" customHeight="1">
      <c r="A145" s="40" t="s">
        <v>962</v>
      </c>
      <c r="B145" s="43" t="s">
        <v>963</v>
      </c>
      <c r="C145" s="43" t="s">
        <v>81</v>
      </c>
      <c r="D145" s="43" t="s">
        <v>51</v>
      </c>
      <c r="E145" s="43"/>
      <c r="F145" s="59">
        <f>F146</f>
        <v>4339.799999999999</v>
      </c>
      <c r="G145" s="94"/>
      <c r="H145" s="94"/>
    </row>
    <row r="146" spans="1:8" ht="15.75">
      <c r="A146" s="40" t="s">
        <v>110</v>
      </c>
      <c r="B146" s="43" t="s">
        <v>963</v>
      </c>
      <c r="C146" s="43" t="s">
        <v>81</v>
      </c>
      <c r="D146" s="43" t="s">
        <v>51</v>
      </c>
      <c r="E146" s="43" t="s">
        <v>111</v>
      </c>
      <c r="F146" s="59">
        <f>4296.4+43.4</f>
        <v>4339.799999999999</v>
      </c>
      <c r="G146" s="94"/>
      <c r="H146" s="94"/>
    </row>
    <row r="147" spans="1:8" ht="31.5">
      <c r="A147" s="40" t="s">
        <v>182</v>
      </c>
      <c r="B147" s="43" t="s">
        <v>6</v>
      </c>
      <c r="C147" s="43"/>
      <c r="D147" s="43"/>
      <c r="E147" s="74"/>
      <c r="F147" s="45">
        <f>F148++F156+F153+F161+F166</f>
        <v>24029.2</v>
      </c>
      <c r="G147" s="45">
        <f>G148++G156+G153+G161</f>
        <v>21280.2</v>
      </c>
      <c r="H147" s="45">
        <f>H148++H156+H153+H161</f>
        <v>20080.2</v>
      </c>
    </row>
    <row r="148" spans="1:8" ht="51" customHeight="1">
      <c r="A148" s="40" t="s">
        <v>181</v>
      </c>
      <c r="B148" s="43" t="s">
        <v>7</v>
      </c>
      <c r="C148" s="43"/>
      <c r="D148" s="43"/>
      <c r="E148" s="74"/>
      <c r="F148" s="45">
        <f>F149+F151</f>
        <v>18863.3</v>
      </c>
      <c r="G148" s="45">
        <f>G149+G151</f>
        <v>18902.2</v>
      </c>
      <c r="H148" s="45">
        <f>H149+H151</f>
        <v>18902.2</v>
      </c>
    </row>
    <row r="149" spans="1:8" ht="15.75">
      <c r="A149" s="40" t="s">
        <v>183</v>
      </c>
      <c r="B149" s="43" t="s">
        <v>8</v>
      </c>
      <c r="C149" s="43" t="s">
        <v>81</v>
      </c>
      <c r="D149" s="43" t="s">
        <v>51</v>
      </c>
      <c r="E149" s="74"/>
      <c r="F149" s="45">
        <f>F150</f>
        <v>13086.6</v>
      </c>
      <c r="G149" s="45">
        <f>G150</f>
        <v>12391.900000000001</v>
      </c>
      <c r="H149" s="45">
        <f>H150</f>
        <v>11641.2</v>
      </c>
    </row>
    <row r="150" spans="1:8" ht="15.75">
      <c r="A150" s="40" t="s">
        <v>110</v>
      </c>
      <c r="B150" s="43" t="s">
        <v>8</v>
      </c>
      <c r="C150" s="43" t="s">
        <v>81</v>
      </c>
      <c r="D150" s="43" t="s">
        <v>51</v>
      </c>
      <c r="E150" s="74" t="s">
        <v>111</v>
      </c>
      <c r="F150" s="94">
        <f>18940-5776.7-13.9-37.8-25</f>
        <v>13086.6</v>
      </c>
      <c r="G150" s="45">
        <f>18940-6510.3-37.8</f>
        <v>12391.900000000001</v>
      </c>
      <c r="H150" s="45">
        <f>18940-7261-37.8</f>
        <v>11641.2</v>
      </c>
    </row>
    <row r="151" spans="1:8" ht="47.25">
      <c r="A151" s="40" t="s">
        <v>462</v>
      </c>
      <c r="B151" s="43" t="s">
        <v>467</v>
      </c>
      <c r="C151" s="43" t="s">
        <v>81</v>
      </c>
      <c r="D151" s="43" t="s">
        <v>51</v>
      </c>
      <c r="E151" s="74"/>
      <c r="F151" s="94">
        <f>F152</f>
        <v>5776.7</v>
      </c>
      <c r="G151" s="94">
        <f>G152</f>
        <v>6510.3</v>
      </c>
      <c r="H151" s="94">
        <f>H152</f>
        <v>7261</v>
      </c>
    </row>
    <row r="152" spans="1:8" ht="15.75">
      <c r="A152" s="40" t="s">
        <v>110</v>
      </c>
      <c r="B152" s="43" t="s">
        <v>467</v>
      </c>
      <c r="C152" s="43" t="s">
        <v>81</v>
      </c>
      <c r="D152" s="43" t="s">
        <v>51</v>
      </c>
      <c r="E152" s="74" t="s">
        <v>111</v>
      </c>
      <c r="F152" s="59">
        <v>5776.7</v>
      </c>
      <c r="G152" s="94">
        <v>6510.3</v>
      </c>
      <c r="H152" s="94">
        <v>7261</v>
      </c>
    </row>
    <row r="153" spans="1:8" ht="47.25">
      <c r="A153" s="40" t="s">
        <v>16</v>
      </c>
      <c r="B153" s="43" t="s">
        <v>193</v>
      </c>
      <c r="C153" s="43"/>
      <c r="D153" s="43"/>
      <c r="E153" s="74"/>
      <c r="F153" s="45">
        <f aca="true" t="shared" si="9" ref="F153:H154">F154</f>
        <v>800</v>
      </c>
      <c r="G153" s="45">
        <f t="shared" si="9"/>
        <v>2000</v>
      </c>
      <c r="H153" s="45">
        <f t="shared" si="9"/>
        <v>800</v>
      </c>
    </row>
    <row r="154" spans="1:8" ht="15.75">
      <c r="A154" s="40" t="s">
        <v>183</v>
      </c>
      <c r="B154" s="43" t="s">
        <v>985</v>
      </c>
      <c r="C154" s="43" t="s">
        <v>86</v>
      </c>
      <c r="D154" s="43" t="s">
        <v>54</v>
      </c>
      <c r="E154" s="74"/>
      <c r="F154" s="45">
        <f t="shared" si="9"/>
        <v>800</v>
      </c>
      <c r="G154" s="45">
        <f t="shared" si="9"/>
        <v>2000</v>
      </c>
      <c r="H154" s="45">
        <f t="shared" si="9"/>
        <v>800</v>
      </c>
    </row>
    <row r="155" spans="1:8" ht="15.75">
      <c r="A155" s="40" t="s">
        <v>110</v>
      </c>
      <c r="B155" s="43" t="s">
        <v>985</v>
      </c>
      <c r="C155" s="43" t="s">
        <v>86</v>
      </c>
      <c r="D155" s="43" t="s">
        <v>54</v>
      </c>
      <c r="E155" s="74" t="s">
        <v>111</v>
      </c>
      <c r="F155" s="45">
        <v>800</v>
      </c>
      <c r="G155" s="45">
        <f>1400+600</f>
        <v>2000</v>
      </c>
      <c r="H155" s="45">
        <f>1400-600</f>
        <v>800</v>
      </c>
    </row>
    <row r="156" spans="1:8" ht="31.5">
      <c r="A156" s="40" t="s">
        <v>725</v>
      </c>
      <c r="B156" s="43" t="s">
        <v>170</v>
      </c>
      <c r="C156" s="43"/>
      <c r="D156" s="43"/>
      <c r="E156" s="74"/>
      <c r="F156" s="45">
        <f>F157+F159</f>
        <v>378</v>
      </c>
      <c r="G156" s="45">
        <f>G157+G159</f>
        <v>378</v>
      </c>
      <c r="H156" s="45">
        <f>H157+H159</f>
        <v>378</v>
      </c>
    </row>
    <row r="157" spans="1:8" ht="63" hidden="1">
      <c r="A157" s="40" t="s">
        <v>557</v>
      </c>
      <c r="B157" s="43" t="s">
        <v>558</v>
      </c>
      <c r="C157" s="43" t="s">
        <v>81</v>
      </c>
      <c r="D157" s="43" t="s">
        <v>51</v>
      </c>
      <c r="E157" s="43"/>
      <c r="F157" s="59">
        <f>F158</f>
        <v>0</v>
      </c>
      <c r="G157" s="59">
        <f>G158</f>
        <v>0</v>
      </c>
      <c r="H157" s="59">
        <f>H158</f>
        <v>0</v>
      </c>
    </row>
    <row r="158" spans="1:8" ht="15.75" hidden="1">
      <c r="A158" s="40" t="s">
        <v>110</v>
      </c>
      <c r="B158" s="43" t="s">
        <v>558</v>
      </c>
      <c r="C158" s="43" t="s">
        <v>81</v>
      </c>
      <c r="D158" s="43" t="s">
        <v>51</v>
      </c>
      <c r="E158" s="43" t="s">
        <v>111</v>
      </c>
      <c r="F158" s="59">
        <v>0</v>
      </c>
      <c r="G158" s="59">
        <v>0</v>
      </c>
      <c r="H158" s="59">
        <v>0</v>
      </c>
    </row>
    <row r="159" spans="1:8" ht="31.5">
      <c r="A159" s="40" t="s">
        <v>1015</v>
      </c>
      <c r="B159" s="43" t="s">
        <v>729</v>
      </c>
      <c r="C159" s="43" t="s">
        <v>81</v>
      </c>
      <c r="D159" s="43" t="s">
        <v>51</v>
      </c>
      <c r="E159" s="43"/>
      <c r="F159" s="59">
        <f>F160</f>
        <v>378</v>
      </c>
      <c r="G159" s="59">
        <f>G160</f>
        <v>378</v>
      </c>
      <c r="H159" s="59">
        <f>H160</f>
        <v>378</v>
      </c>
    </row>
    <row r="160" spans="1:8" ht="15.75">
      <c r="A160" s="40" t="s">
        <v>110</v>
      </c>
      <c r="B160" s="43" t="s">
        <v>729</v>
      </c>
      <c r="C160" s="43" t="s">
        <v>81</v>
      </c>
      <c r="D160" s="43" t="s">
        <v>51</v>
      </c>
      <c r="E160" s="43" t="s">
        <v>111</v>
      </c>
      <c r="F160" s="59">
        <v>378</v>
      </c>
      <c r="G160" s="59">
        <v>378</v>
      </c>
      <c r="H160" s="59">
        <v>378</v>
      </c>
    </row>
    <row r="161" spans="1:8" ht="47.25">
      <c r="A161" s="40" t="s">
        <v>450</v>
      </c>
      <c r="B161" s="43" t="s">
        <v>726</v>
      </c>
      <c r="C161" s="43"/>
      <c r="D161" s="43"/>
      <c r="E161" s="43"/>
      <c r="F161" s="145">
        <f>F164+F162</f>
        <v>3883.7000000000003</v>
      </c>
      <c r="G161" s="145">
        <f>G164</f>
        <v>0</v>
      </c>
      <c r="H161" s="145">
        <f>H164</f>
        <v>0</v>
      </c>
    </row>
    <row r="162" spans="1:8" ht="31.5">
      <c r="A162" s="40" t="s">
        <v>733</v>
      </c>
      <c r="B162" s="43" t="s">
        <v>732</v>
      </c>
      <c r="C162" s="43" t="s">
        <v>81</v>
      </c>
      <c r="D162" s="43" t="s">
        <v>51</v>
      </c>
      <c r="E162" s="43"/>
      <c r="F162" s="145">
        <f>F163</f>
        <v>2497.3</v>
      </c>
      <c r="G162" s="145"/>
      <c r="H162" s="145"/>
    </row>
    <row r="163" spans="1:8" ht="15.75">
      <c r="A163" s="40" t="s">
        <v>110</v>
      </c>
      <c r="B163" s="43" t="s">
        <v>732</v>
      </c>
      <c r="C163" s="43" t="s">
        <v>81</v>
      </c>
      <c r="D163" s="43" t="s">
        <v>51</v>
      </c>
      <c r="E163" s="43" t="s">
        <v>111</v>
      </c>
      <c r="F163" s="145">
        <f>2472.3+25</f>
        <v>2497.3</v>
      </c>
      <c r="G163" s="145"/>
      <c r="H163" s="145"/>
    </row>
    <row r="164" spans="1:8" ht="63">
      <c r="A164" s="40" t="s">
        <v>731</v>
      </c>
      <c r="B164" s="43" t="s">
        <v>730</v>
      </c>
      <c r="C164" s="43" t="s">
        <v>81</v>
      </c>
      <c r="D164" s="43" t="s">
        <v>51</v>
      </c>
      <c r="E164" s="43"/>
      <c r="F164" s="145">
        <f>F165</f>
        <v>1386.4</v>
      </c>
      <c r="G164" s="145">
        <f>G165</f>
        <v>0</v>
      </c>
      <c r="H164" s="145">
        <f>H165</f>
        <v>0</v>
      </c>
    </row>
    <row r="165" spans="1:8" ht="15.75">
      <c r="A165" s="40" t="s">
        <v>110</v>
      </c>
      <c r="B165" s="43" t="s">
        <v>730</v>
      </c>
      <c r="C165" s="43" t="s">
        <v>81</v>
      </c>
      <c r="D165" s="43" t="s">
        <v>51</v>
      </c>
      <c r="E165" s="43" t="s">
        <v>111</v>
      </c>
      <c r="F165" s="145">
        <f>1372.5+13.9</f>
        <v>1386.4</v>
      </c>
      <c r="G165" s="145">
        <v>0</v>
      </c>
      <c r="H165" s="145">
        <v>0</v>
      </c>
    </row>
    <row r="166" spans="1:8" ht="47.25" customHeight="1">
      <c r="A166" s="40" t="s">
        <v>575</v>
      </c>
      <c r="B166" s="43" t="s">
        <v>576</v>
      </c>
      <c r="C166" s="43"/>
      <c r="D166" s="43"/>
      <c r="E166" s="43"/>
      <c r="F166" s="59">
        <f>F167</f>
        <v>104.2</v>
      </c>
      <c r="G166" s="45"/>
      <c r="H166" s="45"/>
    </row>
    <row r="167" spans="1:8" ht="57" customHeight="1">
      <c r="A167" s="40" t="s">
        <v>574</v>
      </c>
      <c r="B167" s="43" t="s">
        <v>577</v>
      </c>
      <c r="C167" s="43" t="s">
        <v>81</v>
      </c>
      <c r="D167" s="43" t="s">
        <v>51</v>
      </c>
      <c r="E167" s="43"/>
      <c r="F167" s="59">
        <f>F168</f>
        <v>104.2</v>
      </c>
      <c r="G167" s="45"/>
      <c r="H167" s="45"/>
    </row>
    <row r="168" spans="1:8" ht="20.25" customHeight="1">
      <c r="A168" s="40" t="s">
        <v>110</v>
      </c>
      <c r="B168" s="43" t="s">
        <v>577</v>
      </c>
      <c r="C168" s="43" t="s">
        <v>81</v>
      </c>
      <c r="D168" s="43" t="s">
        <v>51</v>
      </c>
      <c r="E168" s="43" t="s">
        <v>111</v>
      </c>
      <c r="F168" s="59">
        <v>104.2</v>
      </c>
      <c r="G168" s="45"/>
      <c r="H168" s="45"/>
    </row>
    <row r="169" spans="1:8" ht="31.5">
      <c r="A169" s="40" t="s">
        <v>184</v>
      </c>
      <c r="B169" s="43" t="s">
        <v>10</v>
      </c>
      <c r="C169" s="43"/>
      <c r="D169" s="43"/>
      <c r="E169" s="74"/>
      <c r="F169" s="45">
        <f>F170+F175+F178</f>
        <v>13554.3</v>
      </c>
      <c r="G169" s="45">
        <f>G170+G175+G178</f>
        <v>8710</v>
      </c>
      <c r="H169" s="45">
        <f>H170+H175+H178</f>
        <v>8110</v>
      </c>
    </row>
    <row r="170" spans="1:8" ht="48.75" customHeight="1">
      <c r="A170" s="40" t="s">
        <v>9</v>
      </c>
      <c r="B170" s="43" t="s">
        <v>11</v>
      </c>
      <c r="C170" s="43"/>
      <c r="D170" s="43"/>
      <c r="E170" s="74"/>
      <c r="F170" s="45">
        <f>F171+F173</f>
        <v>7907.8</v>
      </c>
      <c r="G170" s="45">
        <f>G171+G173</f>
        <v>7960</v>
      </c>
      <c r="H170" s="45">
        <f>H171+H173</f>
        <v>7960</v>
      </c>
    </row>
    <row r="171" spans="1:8" ht="31.5">
      <c r="A171" s="40" t="s">
        <v>185</v>
      </c>
      <c r="B171" s="43" t="s">
        <v>12</v>
      </c>
      <c r="C171" s="43" t="s">
        <v>81</v>
      </c>
      <c r="D171" s="43" t="s">
        <v>51</v>
      </c>
      <c r="E171" s="74"/>
      <c r="F171" s="45">
        <f>F172</f>
        <v>5383</v>
      </c>
      <c r="G171" s="45">
        <f>G172</f>
        <v>5145.4</v>
      </c>
      <c r="H171" s="45">
        <f>H172</f>
        <v>4848.9</v>
      </c>
    </row>
    <row r="172" spans="1:8" ht="15.75">
      <c r="A172" s="40" t="s">
        <v>110</v>
      </c>
      <c r="B172" s="43" t="s">
        <v>12</v>
      </c>
      <c r="C172" s="43" t="s">
        <v>81</v>
      </c>
      <c r="D172" s="43" t="s">
        <v>51</v>
      </c>
      <c r="E172" s="74" t="s">
        <v>111</v>
      </c>
      <c r="F172" s="45">
        <f>7960-2524.8-52.2</f>
        <v>5383</v>
      </c>
      <c r="G172" s="45">
        <f>7960-2814.6</f>
        <v>5145.4</v>
      </c>
      <c r="H172" s="45">
        <f>7960-3111.1</f>
        <v>4848.9</v>
      </c>
    </row>
    <row r="173" spans="1:8" ht="50.25" customHeight="1">
      <c r="A173" s="40" t="s">
        <v>462</v>
      </c>
      <c r="B173" s="43" t="s">
        <v>468</v>
      </c>
      <c r="C173" s="43" t="s">
        <v>81</v>
      </c>
      <c r="D173" s="43" t="s">
        <v>51</v>
      </c>
      <c r="E173" s="74"/>
      <c r="F173" s="94">
        <f>F174</f>
        <v>2524.8</v>
      </c>
      <c r="G173" s="94">
        <f>G174</f>
        <v>2814.6</v>
      </c>
      <c r="H173" s="94">
        <f>H174</f>
        <v>3111.1</v>
      </c>
    </row>
    <row r="174" spans="1:8" ht="15.75">
      <c r="A174" s="40" t="s">
        <v>110</v>
      </c>
      <c r="B174" s="43" t="s">
        <v>468</v>
      </c>
      <c r="C174" s="43" t="s">
        <v>81</v>
      </c>
      <c r="D174" s="43" t="s">
        <v>51</v>
      </c>
      <c r="E174" s="74" t="s">
        <v>111</v>
      </c>
      <c r="F174" s="59">
        <v>2524.8</v>
      </c>
      <c r="G174" s="94">
        <v>2814.6</v>
      </c>
      <c r="H174" s="94">
        <v>3111.1</v>
      </c>
    </row>
    <row r="175" spans="1:8" ht="47.25">
      <c r="A175" s="40" t="s">
        <v>16</v>
      </c>
      <c r="B175" s="43" t="s">
        <v>194</v>
      </c>
      <c r="C175" s="43"/>
      <c r="D175" s="43"/>
      <c r="E175" s="74"/>
      <c r="F175" s="45">
        <f aca="true" t="shared" si="10" ref="F175:H176">F176</f>
        <v>425</v>
      </c>
      <c r="G175" s="45">
        <f t="shared" si="10"/>
        <v>750</v>
      </c>
      <c r="H175" s="45">
        <f t="shared" si="10"/>
        <v>150</v>
      </c>
    </row>
    <row r="176" spans="1:8" ht="31.5">
      <c r="A176" s="40" t="s">
        <v>23</v>
      </c>
      <c r="B176" s="43" t="s">
        <v>986</v>
      </c>
      <c r="C176" s="43" t="s">
        <v>86</v>
      </c>
      <c r="D176" s="43" t="s">
        <v>54</v>
      </c>
      <c r="E176" s="74"/>
      <c r="F176" s="45">
        <f t="shared" si="10"/>
        <v>425</v>
      </c>
      <c r="G176" s="45">
        <f t="shared" si="10"/>
        <v>750</v>
      </c>
      <c r="H176" s="45">
        <f t="shared" si="10"/>
        <v>150</v>
      </c>
    </row>
    <row r="177" spans="1:8" ht="15.75">
      <c r="A177" s="40" t="s">
        <v>110</v>
      </c>
      <c r="B177" s="43" t="s">
        <v>986</v>
      </c>
      <c r="C177" s="43" t="s">
        <v>86</v>
      </c>
      <c r="D177" s="43" t="s">
        <v>54</v>
      </c>
      <c r="E177" s="74" t="s">
        <v>111</v>
      </c>
      <c r="F177" s="59">
        <v>425</v>
      </c>
      <c r="G177" s="59">
        <f>450+300</f>
        <v>750</v>
      </c>
      <c r="H177" s="59">
        <f>450-300</f>
        <v>150</v>
      </c>
    </row>
    <row r="178" spans="1:8" ht="31.5">
      <c r="A178" s="40" t="s">
        <v>490</v>
      </c>
      <c r="B178" s="43" t="s">
        <v>491</v>
      </c>
      <c r="C178" s="43"/>
      <c r="D178" s="43"/>
      <c r="E178" s="74"/>
      <c r="F178" s="94">
        <f>F179</f>
        <v>5221.5</v>
      </c>
      <c r="G178" s="45"/>
      <c r="H178" s="45"/>
    </row>
    <row r="179" spans="1:8" ht="31.5">
      <c r="A179" s="40" t="s">
        <v>733</v>
      </c>
      <c r="B179" s="43" t="s">
        <v>734</v>
      </c>
      <c r="C179" s="43" t="s">
        <v>81</v>
      </c>
      <c r="D179" s="43" t="s">
        <v>51</v>
      </c>
      <c r="E179" s="74"/>
      <c r="F179" s="94">
        <f>F180</f>
        <v>5221.5</v>
      </c>
      <c r="G179" s="45"/>
      <c r="H179" s="45"/>
    </row>
    <row r="180" spans="1:8" ht="15.75">
      <c r="A180" s="40" t="s">
        <v>110</v>
      </c>
      <c r="B180" s="43" t="s">
        <v>734</v>
      </c>
      <c r="C180" s="43" t="s">
        <v>81</v>
      </c>
      <c r="D180" s="43" t="s">
        <v>51</v>
      </c>
      <c r="E180" s="74" t="s">
        <v>111</v>
      </c>
      <c r="F180" s="94">
        <f>5169.3+52.2</f>
        <v>5221.5</v>
      </c>
      <c r="G180" s="45"/>
      <c r="H180" s="45"/>
    </row>
    <row r="181" spans="1:8" ht="31.5">
      <c r="A181" s="40" t="s">
        <v>186</v>
      </c>
      <c r="B181" s="43" t="s">
        <v>13</v>
      </c>
      <c r="C181" s="43"/>
      <c r="D181" s="43"/>
      <c r="E181" s="74"/>
      <c r="F181" s="45">
        <f>F182+F189+F203+F192</f>
        <v>42509</v>
      </c>
      <c r="G181" s="45">
        <f>G182+G189+G203</f>
        <v>31504.300000000003</v>
      </c>
      <c r="H181" s="45">
        <f>H182+H189+H203</f>
        <v>30889.4</v>
      </c>
    </row>
    <row r="182" spans="1:8" ht="48.75" customHeight="1">
      <c r="A182" s="40" t="s">
        <v>492</v>
      </c>
      <c r="B182" s="43" t="s">
        <v>493</v>
      </c>
      <c r="C182" s="43"/>
      <c r="D182" s="43"/>
      <c r="E182" s="74"/>
      <c r="F182" s="45">
        <f>F183+F187+F185</f>
        <v>29774.5</v>
      </c>
      <c r="G182" s="45">
        <f>G183+G187</f>
        <v>29814.4</v>
      </c>
      <c r="H182" s="45">
        <f>H183+H187</f>
        <v>29814.4</v>
      </c>
    </row>
    <row r="183" spans="1:8" ht="31.5">
      <c r="A183" s="40" t="s">
        <v>185</v>
      </c>
      <c r="B183" s="43" t="s">
        <v>15</v>
      </c>
      <c r="C183" s="43" t="s">
        <v>81</v>
      </c>
      <c r="D183" s="43" t="s">
        <v>51</v>
      </c>
      <c r="E183" s="74"/>
      <c r="F183" s="45">
        <f>F184</f>
        <v>20927.5</v>
      </c>
      <c r="G183" s="45">
        <f>G184</f>
        <v>19971</v>
      </c>
      <c r="H183" s="45">
        <f>H184</f>
        <v>18929.4</v>
      </c>
    </row>
    <row r="184" spans="1:8" ht="15.75">
      <c r="A184" s="40" t="s">
        <v>110</v>
      </c>
      <c r="B184" s="43" t="s">
        <v>15</v>
      </c>
      <c r="C184" s="43" t="s">
        <v>81</v>
      </c>
      <c r="D184" s="43" t="s">
        <v>51</v>
      </c>
      <c r="E184" s="74" t="s">
        <v>111</v>
      </c>
      <c r="F184" s="45">
        <v>20927.5</v>
      </c>
      <c r="G184" s="45">
        <f>29814.4-9843.4</f>
        <v>19971</v>
      </c>
      <c r="H184" s="45">
        <f>29814.4-10885</f>
        <v>18929.4</v>
      </c>
    </row>
    <row r="185" spans="1:8" ht="39" customHeight="1">
      <c r="A185" s="40" t="s">
        <v>185</v>
      </c>
      <c r="B185" s="43" t="s">
        <v>15</v>
      </c>
      <c r="C185" s="43" t="s">
        <v>61</v>
      </c>
      <c r="D185" s="43" t="s">
        <v>52</v>
      </c>
      <c r="E185" s="74"/>
      <c r="F185" s="45">
        <f>F186</f>
        <v>21.5</v>
      </c>
      <c r="G185" s="45"/>
      <c r="H185" s="45"/>
    </row>
    <row r="186" spans="1:8" ht="21.75" customHeight="1">
      <c r="A186" s="40" t="s">
        <v>110</v>
      </c>
      <c r="B186" s="43" t="s">
        <v>15</v>
      </c>
      <c r="C186" s="43" t="s">
        <v>61</v>
      </c>
      <c r="D186" s="43" t="s">
        <v>52</v>
      </c>
      <c r="E186" s="74" t="s">
        <v>111</v>
      </c>
      <c r="F186" s="45">
        <v>21.5</v>
      </c>
      <c r="G186" s="45"/>
      <c r="H186" s="45"/>
    </row>
    <row r="187" spans="1:8" ht="47.25">
      <c r="A187" s="40" t="s">
        <v>462</v>
      </c>
      <c r="B187" s="43" t="s">
        <v>469</v>
      </c>
      <c r="C187" s="43" t="s">
        <v>81</v>
      </c>
      <c r="D187" s="43" t="s">
        <v>51</v>
      </c>
      <c r="E187" s="74"/>
      <c r="F187" s="94">
        <f>F188</f>
        <v>8825.5</v>
      </c>
      <c r="G187" s="94">
        <f>G188</f>
        <v>9843.400000000001</v>
      </c>
      <c r="H187" s="94">
        <f>H188</f>
        <v>10885</v>
      </c>
    </row>
    <row r="188" spans="1:8" ht="17.25" customHeight="1">
      <c r="A188" s="40" t="s">
        <v>110</v>
      </c>
      <c r="B188" s="43" t="s">
        <v>469</v>
      </c>
      <c r="C188" s="43" t="s">
        <v>81</v>
      </c>
      <c r="D188" s="43" t="s">
        <v>51</v>
      </c>
      <c r="E188" s="74" t="s">
        <v>111</v>
      </c>
      <c r="F188" s="59">
        <f>6931.1+784.1+1110.3</f>
        <v>8825.5</v>
      </c>
      <c r="G188" s="94">
        <f>7789.7+854.5+1199.2</f>
        <v>9843.400000000001</v>
      </c>
      <c r="H188" s="94">
        <f>8668.3+926.5+1290.2</f>
        <v>10885</v>
      </c>
    </row>
    <row r="189" spans="1:8" ht="46.5" customHeight="1">
      <c r="A189" s="40" t="s">
        <v>16</v>
      </c>
      <c r="B189" s="43" t="s">
        <v>195</v>
      </c>
      <c r="C189" s="43"/>
      <c r="D189" s="43"/>
      <c r="E189" s="74"/>
      <c r="F189" s="45">
        <f aca="true" t="shared" si="11" ref="F189:H190">F190</f>
        <v>926.5</v>
      </c>
      <c r="G189" s="45">
        <f t="shared" si="11"/>
        <v>1689.9</v>
      </c>
      <c r="H189" s="45">
        <f t="shared" si="11"/>
        <v>1075</v>
      </c>
    </row>
    <row r="190" spans="1:8" ht="31.5">
      <c r="A190" s="40" t="s">
        <v>23</v>
      </c>
      <c r="B190" s="43" t="s">
        <v>987</v>
      </c>
      <c r="C190" s="43" t="s">
        <v>86</v>
      </c>
      <c r="D190" s="43" t="s">
        <v>54</v>
      </c>
      <c r="E190" s="74"/>
      <c r="F190" s="45">
        <f t="shared" si="11"/>
        <v>926.5</v>
      </c>
      <c r="G190" s="45">
        <f t="shared" si="11"/>
        <v>1689.9</v>
      </c>
      <c r="H190" s="45">
        <f t="shared" si="11"/>
        <v>1075</v>
      </c>
    </row>
    <row r="191" spans="1:8" ht="15.75">
      <c r="A191" s="40" t="s">
        <v>110</v>
      </c>
      <c r="B191" s="43" t="s">
        <v>987</v>
      </c>
      <c r="C191" s="43" t="s">
        <v>86</v>
      </c>
      <c r="D191" s="43" t="s">
        <v>54</v>
      </c>
      <c r="E191" s="74" t="s">
        <v>111</v>
      </c>
      <c r="F191" s="59">
        <v>926.5</v>
      </c>
      <c r="G191" s="94">
        <v>1689.9</v>
      </c>
      <c r="H191" s="94">
        <v>1075</v>
      </c>
    </row>
    <row r="192" spans="1:8" ht="31.5">
      <c r="A192" s="40" t="s">
        <v>573</v>
      </c>
      <c r="B192" s="43" t="s">
        <v>727</v>
      </c>
      <c r="C192" s="43"/>
      <c r="D192" s="43"/>
      <c r="E192" s="43"/>
      <c r="F192" s="59">
        <f>F193+F197+F195+F199+F201</f>
        <v>4868.499999999999</v>
      </c>
      <c r="G192" s="59"/>
      <c r="H192" s="59"/>
    </row>
    <row r="193" spans="1:8" ht="63" hidden="1">
      <c r="A193" s="40" t="s">
        <v>572</v>
      </c>
      <c r="B193" s="43" t="s">
        <v>728</v>
      </c>
      <c r="C193" s="43" t="s">
        <v>81</v>
      </c>
      <c r="D193" s="43" t="s">
        <v>51</v>
      </c>
      <c r="E193" s="43"/>
      <c r="F193" s="59">
        <f>F194</f>
        <v>0</v>
      </c>
      <c r="G193" s="59"/>
      <c r="H193" s="59"/>
    </row>
    <row r="194" spans="1:8" ht="15.75" hidden="1">
      <c r="A194" s="40" t="s">
        <v>110</v>
      </c>
      <c r="B194" s="43" t="s">
        <v>728</v>
      </c>
      <c r="C194" s="43" t="s">
        <v>81</v>
      </c>
      <c r="D194" s="43" t="s">
        <v>51</v>
      </c>
      <c r="E194" s="43" t="s">
        <v>111</v>
      </c>
      <c r="F194" s="59">
        <v>0</v>
      </c>
      <c r="G194" s="59"/>
      <c r="H194" s="59"/>
    </row>
    <row r="195" spans="1:8" ht="31.5">
      <c r="A195" s="40" t="s">
        <v>733</v>
      </c>
      <c r="B195" s="43" t="s">
        <v>736</v>
      </c>
      <c r="C195" s="43"/>
      <c r="D195" s="43"/>
      <c r="E195" s="43"/>
      <c r="F195" s="59">
        <f>F196</f>
        <v>1718.7</v>
      </c>
      <c r="G195" s="59"/>
      <c r="H195" s="59"/>
    </row>
    <row r="196" spans="1:8" ht="15.75">
      <c r="A196" s="40" t="s">
        <v>110</v>
      </c>
      <c r="B196" s="43" t="s">
        <v>736</v>
      </c>
      <c r="C196" s="43" t="s">
        <v>81</v>
      </c>
      <c r="D196" s="43" t="s">
        <v>51</v>
      </c>
      <c r="E196" s="43" t="s">
        <v>111</v>
      </c>
      <c r="F196" s="59">
        <f>1701.5+17.2</f>
        <v>1718.7</v>
      </c>
      <c r="G196" s="59"/>
      <c r="H196" s="59"/>
    </row>
    <row r="197" spans="1:8" ht="63">
      <c r="A197" s="40" t="s">
        <v>731</v>
      </c>
      <c r="B197" s="43" t="s">
        <v>735</v>
      </c>
      <c r="C197" s="43" t="s">
        <v>81</v>
      </c>
      <c r="D197" s="43" t="s">
        <v>51</v>
      </c>
      <c r="E197" s="43"/>
      <c r="F197" s="59">
        <f>F198</f>
        <v>2271.8999999999996</v>
      </c>
      <c r="G197" s="59">
        <f>G198</f>
        <v>0</v>
      </c>
      <c r="H197" s="59">
        <f>H198</f>
        <v>0</v>
      </c>
    </row>
    <row r="198" spans="1:8" ht="15.75">
      <c r="A198" s="40" t="s">
        <v>110</v>
      </c>
      <c r="B198" s="43" t="s">
        <v>735</v>
      </c>
      <c r="C198" s="43" t="s">
        <v>81</v>
      </c>
      <c r="D198" s="43" t="s">
        <v>51</v>
      </c>
      <c r="E198" s="43" t="s">
        <v>111</v>
      </c>
      <c r="F198" s="59">
        <f>2249.2+22.7</f>
        <v>2271.8999999999996</v>
      </c>
      <c r="G198" s="45">
        <v>0</v>
      </c>
      <c r="H198" s="45">
        <v>0</v>
      </c>
    </row>
    <row r="199" spans="1:8" ht="31.5">
      <c r="A199" s="40" t="s">
        <v>421</v>
      </c>
      <c r="B199" s="43" t="s">
        <v>833</v>
      </c>
      <c r="C199" s="43" t="s">
        <v>81</v>
      </c>
      <c r="D199" s="43" t="s">
        <v>51</v>
      </c>
      <c r="E199" s="74"/>
      <c r="F199" s="59">
        <f>F200</f>
        <v>787.4</v>
      </c>
      <c r="G199" s="45"/>
      <c r="H199" s="45"/>
    </row>
    <row r="200" spans="1:8" ht="15.75">
      <c r="A200" s="40" t="s">
        <v>110</v>
      </c>
      <c r="B200" s="43" t="s">
        <v>833</v>
      </c>
      <c r="C200" s="43" t="s">
        <v>81</v>
      </c>
      <c r="D200" s="43" t="s">
        <v>51</v>
      </c>
      <c r="E200" s="74" t="s">
        <v>111</v>
      </c>
      <c r="F200" s="59">
        <v>787.4</v>
      </c>
      <c r="G200" s="45"/>
      <c r="H200" s="45"/>
    </row>
    <row r="201" spans="1:8" ht="47.25">
      <c r="A201" s="40" t="s">
        <v>422</v>
      </c>
      <c r="B201" s="43" t="s">
        <v>834</v>
      </c>
      <c r="C201" s="43" t="s">
        <v>81</v>
      </c>
      <c r="D201" s="43" t="s">
        <v>51</v>
      </c>
      <c r="E201" s="74"/>
      <c r="F201" s="59">
        <f>F202</f>
        <v>90.5</v>
      </c>
      <c r="G201" s="45"/>
      <c r="H201" s="45"/>
    </row>
    <row r="202" spans="1:8" ht="15.75">
      <c r="A202" s="40" t="s">
        <v>110</v>
      </c>
      <c r="B202" s="43" t="s">
        <v>834</v>
      </c>
      <c r="C202" s="43" t="s">
        <v>81</v>
      </c>
      <c r="D202" s="43" t="s">
        <v>51</v>
      </c>
      <c r="E202" s="74" t="s">
        <v>111</v>
      </c>
      <c r="F202" s="59">
        <v>90.5</v>
      </c>
      <c r="G202" s="45"/>
      <c r="H202" s="45"/>
    </row>
    <row r="203" spans="1:8" ht="31.5">
      <c r="A203" s="40" t="s">
        <v>444</v>
      </c>
      <c r="B203" s="43" t="s">
        <v>429</v>
      </c>
      <c r="C203" s="43"/>
      <c r="D203" s="43"/>
      <c r="E203" s="74"/>
      <c r="F203" s="94">
        <f>F206+F204</f>
        <v>6939.5</v>
      </c>
      <c r="G203" s="94">
        <f>G206</f>
        <v>0</v>
      </c>
      <c r="H203" s="94">
        <f>H206</f>
        <v>0</v>
      </c>
    </row>
    <row r="204" spans="1:8" ht="31.5">
      <c r="A204" s="40" t="s">
        <v>1026</v>
      </c>
      <c r="B204" s="43" t="s">
        <v>1028</v>
      </c>
      <c r="C204" s="43" t="s">
        <v>81</v>
      </c>
      <c r="D204" s="43" t="s">
        <v>51</v>
      </c>
      <c r="E204" s="74"/>
      <c r="F204" s="94">
        <f>F205</f>
        <v>1649.5</v>
      </c>
      <c r="G204" s="94"/>
      <c r="H204" s="94"/>
    </row>
    <row r="205" spans="1:8" ht="15.75">
      <c r="A205" s="40" t="s">
        <v>110</v>
      </c>
      <c r="B205" s="43" t="s">
        <v>1028</v>
      </c>
      <c r="C205" s="43" t="s">
        <v>81</v>
      </c>
      <c r="D205" s="43" t="s">
        <v>51</v>
      </c>
      <c r="E205" s="74" t="s">
        <v>111</v>
      </c>
      <c r="F205" s="94">
        <v>1649.5</v>
      </c>
      <c r="G205" s="94"/>
      <c r="H205" s="94"/>
    </row>
    <row r="206" spans="1:8" ht="236.25">
      <c r="A206" s="40" t="s">
        <v>1031</v>
      </c>
      <c r="B206" s="43" t="s">
        <v>1027</v>
      </c>
      <c r="C206" s="43" t="s">
        <v>81</v>
      </c>
      <c r="D206" s="43" t="s">
        <v>51</v>
      </c>
      <c r="E206" s="43"/>
      <c r="F206" s="59">
        <f>F207</f>
        <v>5290</v>
      </c>
      <c r="G206" s="94"/>
      <c r="H206" s="94"/>
    </row>
    <row r="207" spans="1:8" ht="31.5">
      <c r="A207" s="40" t="s">
        <v>110</v>
      </c>
      <c r="B207" s="43" t="s">
        <v>1027</v>
      </c>
      <c r="C207" s="43" t="s">
        <v>81</v>
      </c>
      <c r="D207" s="43" t="s">
        <v>51</v>
      </c>
      <c r="E207" s="43" t="s">
        <v>111</v>
      </c>
      <c r="F207" s="59">
        <v>5290</v>
      </c>
      <c r="G207" s="94"/>
      <c r="H207" s="94"/>
    </row>
    <row r="208" spans="1:8" ht="34.5" customHeight="1">
      <c r="A208" s="40" t="s">
        <v>290</v>
      </c>
      <c r="B208" s="43" t="s">
        <v>175</v>
      </c>
      <c r="C208" s="43"/>
      <c r="D208" s="43"/>
      <c r="E208" s="74"/>
      <c r="F208" s="45">
        <f>F209</f>
        <v>7027.4</v>
      </c>
      <c r="G208" s="45">
        <f>G209</f>
        <v>7027.4</v>
      </c>
      <c r="H208" s="45">
        <f>H209</f>
        <v>7027.4</v>
      </c>
    </row>
    <row r="209" spans="1:8" ht="47.25">
      <c r="A209" s="40" t="s">
        <v>172</v>
      </c>
      <c r="B209" s="43" t="s">
        <v>173</v>
      </c>
      <c r="C209" s="43"/>
      <c r="D209" s="43"/>
      <c r="E209" s="74"/>
      <c r="F209" s="45">
        <f>F210+F212</f>
        <v>7027.4</v>
      </c>
      <c r="G209" s="45">
        <f>G210+G212</f>
        <v>7027.4</v>
      </c>
      <c r="H209" s="45">
        <f>H210+H212</f>
        <v>7027.4</v>
      </c>
    </row>
    <row r="210" spans="1:8" ht="18.75" customHeight="1">
      <c r="A210" s="40" t="s">
        <v>113</v>
      </c>
      <c r="B210" s="43" t="s">
        <v>176</v>
      </c>
      <c r="C210" s="43" t="s">
        <v>59</v>
      </c>
      <c r="D210" s="43" t="s">
        <v>54</v>
      </c>
      <c r="E210" s="74"/>
      <c r="F210" s="45">
        <f>F211</f>
        <v>5207.299999999999</v>
      </c>
      <c r="G210" s="45">
        <f>G211</f>
        <v>5022.5</v>
      </c>
      <c r="H210" s="45">
        <f>H211</f>
        <v>4833.4</v>
      </c>
    </row>
    <row r="211" spans="1:8" ht="15.75">
      <c r="A211" s="40" t="s">
        <v>110</v>
      </c>
      <c r="B211" s="43" t="s">
        <v>176</v>
      </c>
      <c r="C211" s="43" t="s">
        <v>59</v>
      </c>
      <c r="D211" s="43" t="s">
        <v>54</v>
      </c>
      <c r="E211" s="74" t="s">
        <v>111</v>
      </c>
      <c r="F211" s="45">
        <f>7027.4-1820.1</f>
        <v>5207.299999999999</v>
      </c>
      <c r="G211" s="45">
        <f>7027.4-2004.9</f>
        <v>5022.5</v>
      </c>
      <c r="H211" s="45">
        <f>7027.4-2194</f>
        <v>4833.4</v>
      </c>
    </row>
    <row r="212" spans="1:8" ht="47.25">
      <c r="A212" s="40" t="s">
        <v>462</v>
      </c>
      <c r="B212" s="43" t="s">
        <v>464</v>
      </c>
      <c r="C212" s="43" t="s">
        <v>59</v>
      </c>
      <c r="D212" s="43" t="s">
        <v>54</v>
      </c>
      <c r="E212" s="43"/>
      <c r="F212" s="94">
        <f>F213</f>
        <v>1820.1</v>
      </c>
      <c r="G212" s="94">
        <f>G213</f>
        <v>2004.9</v>
      </c>
      <c r="H212" s="94">
        <f>H213</f>
        <v>2194</v>
      </c>
    </row>
    <row r="213" spans="1:8" ht="15.75">
      <c r="A213" s="40" t="s">
        <v>110</v>
      </c>
      <c r="B213" s="43" t="s">
        <v>464</v>
      </c>
      <c r="C213" s="43" t="s">
        <v>59</v>
      </c>
      <c r="D213" s="43" t="s">
        <v>54</v>
      </c>
      <c r="E213" s="43" t="s">
        <v>111</v>
      </c>
      <c r="F213" s="94">
        <v>1820.1</v>
      </c>
      <c r="G213" s="94">
        <v>2004.9</v>
      </c>
      <c r="H213" s="94">
        <v>2194</v>
      </c>
    </row>
    <row r="214" spans="1:8" ht="78.75">
      <c r="A214" s="40" t="s">
        <v>934</v>
      </c>
      <c r="B214" s="43" t="s">
        <v>256</v>
      </c>
      <c r="C214" s="43"/>
      <c r="D214" s="43"/>
      <c r="E214" s="74"/>
      <c r="F214" s="45">
        <f>F215</f>
        <v>12000</v>
      </c>
      <c r="G214" s="45">
        <f>G215</f>
        <v>12000</v>
      </c>
      <c r="H214" s="45">
        <f>H215</f>
        <v>12000</v>
      </c>
    </row>
    <row r="215" spans="1:8" ht="31.5">
      <c r="A215" s="40" t="s">
        <v>935</v>
      </c>
      <c r="B215" s="43" t="s">
        <v>255</v>
      </c>
      <c r="C215" s="43"/>
      <c r="D215" s="43"/>
      <c r="E215" s="74"/>
      <c r="F215" s="45">
        <f>F216+F220+F218</f>
        <v>12000</v>
      </c>
      <c r="G215" s="45">
        <f>G216+G220</f>
        <v>12000</v>
      </c>
      <c r="H215" s="45">
        <f>H216+H220</f>
        <v>12000</v>
      </c>
    </row>
    <row r="216" spans="1:8" ht="15.75">
      <c r="A216" s="40" t="s">
        <v>936</v>
      </c>
      <c r="B216" s="43" t="s">
        <v>257</v>
      </c>
      <c r="C216" s="43" t="s">
        <v>51</v>
      </c>
      <c r="D216" s="43" t="s">
        <v>63</v>
      </c>
      <c r="E216" s="74"/>
      <c r="F216" s="45">
        <f>F217</f>
        <v>7173.3</v>
      </c>
      <c r="G216" s="45">
        <f>G217</f>
        <v>7003.6</v>
      </c>
      <c r="H216" s="45">
        <f>H217</f>
        <v>6826.1</v>
      </c>
    </row>
    <row r="217" spans="1:8" ht="15.75">
      <c r="A217" s="125" t="s">
        <v>110</v>
      </c>
      <c r="B217" s="43" t="s">
        <v>257</v>
      </c>
      <c r="C217" s="43" t="s">
        <v>51</v>
      </c>
      <c r="D217" s="43" t="s">
        <v>63</v>
      </c>
      <c r="E217" s="74" t="s">
        <v>111</v>
      </c>
      <c r="F217" s="94">
        <v>7173.3</v>
      </c>
      <c r="G217" s="94">
        <f>12000-4996.4</f>
        <v>7003.6</v>
      </c>
      <c r="H217" s="94">
        <f>12000-5173.9</f>
        <v>6826.1</v>
      </c>
    </row>
    <row r="218" spans="1:8" ht="15.75">
      <c r="A218" s="40" t="s">
        <v>936</v>
      </c>
      <c r="B218" s="43" t="s">
        <v>257</v>
      </c>
      <c r="C218" s="43" t="s">
        <v>86</v>
      </c>
      <c r="D218" s="43" t="s">
        <v>54</v>
      </c>
      <c r="E218" s="43"/>
      <c r="F218" s="59">
        <f>F219</f>
        <v>1.8</v>
      </c>
      <c r="G218" s="45">
        <f>G219</f>
        <v>0</v>
      </c>
      <c r="H218" s="45">
        <f>H219</f>
        <v>0</v>
      </c>
    </row>
    <row r="219" spans="1:8" ht="15.75">
      <c r="A219" s="125" t="s">
        <v>110</v>
      </c>
      <c r="B219" s="43" t="s">
        <v>257</v>
      </c>
      <c r="C219" s="43" t="s">
        <v>86</v>
      </c>
      <c r="D219" s="43" t="s">
        <v>54</v>
      </c>
      <c r="E219" s="43" t="s">
        <v>111</v>
      </c>
      <c r="F219" s="94">
        <v>1.8</v>
      </c>
      <c r="G219" s="94">
        <v>0</v>
      </c>
      <c r="H219" s="94">
        <v>0</v>
      </c>
    </row>
    <row r="220" spans="1:8" ht="47.25">
      <c r="A220" s="40" t="s">
        <v>462</v>
      </c>
      <c r="B220" s="43" t="s">
        <v>463</v>
      </c>
      <c r="C220" s="43" t="s">
        <v>51</v>
      </c>
      <c r="D220" s="43" t="s">
        <v>63</v>
      </c>
      <c r="E220" s="43"/>
      <c r="F220" s="94">
        <f>F221</f>
        <v>4824.9</v>
      </c>
      <c r="G220" s="94">
        <f>G221</f>
        <v>4996.4</v>
      </c>
      <c r="H220" s="94">
        <f>H221</f>
        <v>5173.9</v>
      </c>
    </row>
    <row r="221" spans="1:8" ht="15.75">
      <c r="A221" s="125" t="s">
        <v>110</v>
      </c>
      <c r="B221" s="43" t="s">
        <v>463</v>
      </c>
      <c r="C221" s="43" t="s">
        <v>51</v>
      </c>
      <c r="D221" s="43" t="s">
        <v>63</v>
      </c>
      <c r="E221" s="43" t="s">
        <v>111</v>
      </c>
      <c r="F221" s="59">
        <v>4824.9</v>
      </c>
      <c r="G221" s="94">
        <v>4996.4</v>
      </c>
      <c r="H221" s="94">
        <v>5173.9</v>
      </c>
    </row>
    <row r="222" spans="1:8" ht="63">
      <c r="A222" s="50" t="s">
        <v>713</v>
      </c>
      <c r="B222" s="46" t="s">
        <v>374</v>
      </c>
      <c r="C222" s="46"/>
      <c r="D222" s="46"/>
      <c r="E222" s="103"/>
      <c r="F222" s="93">
        <f>F223+F227+F238+F243+F247+F250+F254</f>
        <v>10112.7</v>
      </c>
      <c r="G222" s="93">
        <f>G223+G227+G238+G243+G247+G250+G254</f>
        <v>9559.6</v>
      </c>
      <c r="H222" s="93">
        <f>H223+H227+H238+H243+H247+H250+H254</f>
        <v>6909.6</v>
      </c>
    </row>
    <row r="223" spans="1:8" ht="63">
      <c r="A223" s="40" t="s">
        <v>714</v>
      </c>
      <c r="B223" s="43" t="s">
        <v>304</v>
      </c>
      <c r="C223" s="43"/>
      <c r="D223" s="43"/>
      <c r="E223" s="74"/>
      <c r="F223" s="45">
        <f>F224</f>
        <v>2373</v>
      </c>
      <c r="G223" s="45">
        <f>G224</f>
        <v>1790</v>
      </c>
      <c r="H223" s="45">
        <f>H224</f>
        <v>490</v>
      </c>
    </row>
    <row r="224" spans="1:8" ht="96.75" customHeight="1">
      <c r="A224" s="40" t="s">
        <v>190</v>
      </c>
      <c r="B224" s="43" t="s">
        <v>305</v>
      </c>
      <c r="C224" s="43" t="s">
        <v>86</v>
      </c>
      <c r="D224" s="43" t="s">
        <v>54</v>
      </c>
      <c r="E224" s="74"/>
      <c r="F224" s="45">
        <f>F226+F225</f>
        <v>2373</v>
      </c>
      <c r="G224" s="45">
        <f>G226+G225</f>
        <v>1790</v>
      </c>
      <c r="H224" s="45">
        <f>H226+H225</f>
        <v>490</v>
      </c>
    </row>
    <row r="225" spans="1:8" ht="47.25">
      <c r="A225" s="40" t="s">
        <v>20</v>
      </c>
      <c r="B225" s="43" t="s">
        <v>305</v>
      </c>
      <c r="C225" s="43" t="s">
        <v>86</v>
      </c>
      <c r="D225" s="43" t="s">
        <v>54</v>
      </c>
      <c r="E225" s="74" t="s">
        <v>100</v>
      </c>
      <c r="F225" s="45">
        <v>18</v>
      </c>
      <c r="G225" s="45">
        <v>10</v>
      </c>
      <c r="H225" s="45">
        <v>10</v>
      </c>
    </row>
    <row r="226" spans="1:8" ht="35.25" customHeight="1">
      <c r="A226" s="40" t="s">
        <v>221</v>
      </c>
      <c r="B226" s="43" t="s">
        <v>305</v>
      </c>
      <c r="C226" s="43" t="s">
        <v>86</v>
      </c>
      <c r="D226" s="43" t="s">
        <v>54</v>
      </c>
      <c r="E226" s="74" t="s">
        <v>222</v>
      </c>
      <c r="F226" s="59">
        <v>2355</v>
      </c>
      <c r="G226" s="59">
        <f>1280+500</f>
        <v>1780</v>
      </c>
      <c r="H226" s="59">
        <f>1280-800</f>
        <v>480</v>
      </c>
    </row>
    <row r="227" spans="1:8" ht="68.25" customHeight="1">
      <c r="A227" s="40" t="s">
        <v>298</v>
      </c>
      <c r="B227" s="43" t="s">
        <v>299</v>
      </c>
      <c r="C227" s="43"/>
      <c r="D227" s="43"/>
      <c r="E227" s="74"/>
      <c r="F227" s="45">
        <f>F228+F230+F232+F234+F236</f>
        <v>550</v>
      </c>
      <c r="G227" s="45">
        <f>G228+G230+G232+G234+G236</f>
        <v>550</v>
      </c>
      <c r="H227" s="45">
        <f>H228+H230+H232+H234+H236</f>
        <v>550</v>
      </c>
    </row>
    <row r="228" spans="1:8" ht="21.75" customHeight="1">
      <c r="A228" s="40" t="s">
        <v>113</v>
      </c>
      <c r="B228" s="43" t="s">
        <v>300</v>
      </c>
      <c r="C228" s="43" t="s">
        <v>59</v>
      </c>
      <c r="D228" s="43" t="s">
        <v>65</v>
      </c>
      <c r="E228" s="74"/>
      <c r="F228" s="45">
        <f>F229</f>
        <v>125</v>
      </c>
      <c r="G228" s="45">
        <f>G229</f>
        <v>125</v>
      </c>
      <c r="H228" s="45">
        <f>H229</f>
        <v>125</v>
      </c>
    </row>
    <row r="229" spans="1:8" ht="15.75">
      <c r="A229" s="40" t="s">
        <v>110</v>
      </c>
      <c r="B229" s="43" t="s">
        <v>300</v>
      </c>
      <c r="C229" s="43" t="s">
        <v>59</v>
      </c>
      <c r="D229" s="43" t="s">
        <v>65</v>
      </c>
      <c r="E229" s="74" t="s">
        <v>111</v>
      </c>
      <c r="F229" s="45">
        <f>95+30</f>
        <v>125</v>
      </c>
      <c r="G229" s="45">
        <f>95+30</f>
        <v>125</v>
      </c>
      <c r="H229" s="45">
        <f>95+30</f>
        <v>125</v>
      </c>
    </row>
    <row r="230" spans="1:8" ht="15.75">
      <c r="A230" s="40" t="s">
        <v>109</v>
      </c>
      <c r="B230" s="43" t="s">
        <v>301</v>
      </c>
      <c r="C230" s="43" t="s">
        <v>59</v>
      </c>
      <c r="D230" s="43" t="s">
        <v>65</v>
      </c>
      <c r="E230" s="74"/>
      <c r="F230" s="45">
        <f>F231</f>
        <v>20</v>
      </c>
      <c r="G230" s="45">
        <f>G231</f>
        <v>20</v>
      </c>
      <c r="H230" s="45">
        <f>H231</f>
        <v>20</v>
      </c>
    </row>
    <row r="231" spans="1:8" ht="15.75">
      <c r="A231" s="40" t="s">
        <v>110</v>
      </c>
      <c r="B231" s="43" t="s">
        <v>301</v>
      </c>
      <c r="C231" s="43" t="s">
        <v>59</v>
      </c>
      <c r="D231" s="43" t="s">
        <v>65</v>
      </c>
      <c r="E231" s="74" t="s">
        <v>111</v>
      </c>
      <c r="F231" s="45">
        <v>20</v>
      </c>
      <c r="G231" s="45">
        <v>20</v>
      </c>
      <c r="H231" s="45">
        <v>20</v>
      </c>
    </row>
    <row r="232" spans="1:8" ht="31.5">
      <c r="A232" s="40" t="s">
        <v>114</v>
      </c>
      <c r="B232" s="43" t="s">
        <v>302</v>
      </c>
      <c r="C232" s="43" t="s">
        <v>59</v>
      </c>
      <c r="D232" s="43" t="s">
        <v>65</v>
      </c>
      <c r="E232" s="74"/>
      <c r="F232" s="45">
        <f>F233</f>
        <v>231</v>
      </c>
      <c r="G232" s="45">
        <f>G233</f>
        <v>231</v>
      </c>
      <c r="H232" s="45">
        <f>H233</f>
        <v>231</v>
      </c>
    </row>
    <row r="233" spans="1:8" ht="15.75">
      <c r="A233" s="40" t="s">
        <v>110</v>
      </c>
      <c r="B233" s="43" t="s">
        <v>302</v>
      </c>
      <c r="C233" s="43" t="s">
        <v>59</v>
      </c>
      <c r="D233" s="43" t="s">
        <v>65</v>
      </c>
      <c r="E233" s="74" t="s">
        <v>111</v>
      </c>
      <c r="F233" s="45">
        <v>231</v>
      </c>
      <c r="G233" s="45">
        <v>231</v>
      </c>
      <c r="H233" s="45">
        <v>231</v>
      </c>
    </row>
    <row r="234" spans="1:8" ht="15.75">
      <c r="A234" s="37" t="s">
        <v>150</v>
      </c>
      <c r="B234" s="43" t="s">
        <v>303</v>
      </c>
      <c r="C234" s="43" t="s">
        <v>59</v>
      </c>
      <c r="D234" s="43" t="s">
        <v>65</v>
      </c>
      <c r="E234" s="74"/>
      <c r="F234" s="45">
        <f>F235</f>
        <v>124</v>
      </c>
      <c r="G234" s="45">
        <f>G235</f>
        <v>124</v>
      </c>
      <c r="H234" s="45">
        <f>H235</f>
        <v>124</v>
      </c>
    </row>
    <row r="235" spans="1:8" ht="15.75">
      <c r="A235" s="40" t="s">
        <v>110</v>
      </c>
      <c r="B235" s="43" t="s">
        <v>303</v>
      </c>
      <c r="C235" s="43" t="s">
        <v>59</v>
      </c>
      <c r="D235" s="43" t="s">
        <v>65</v>
      </c>
      <c r="E235" s="74" t="s">
        <v>111</v>
      </c>
      <c r="F235" s="94">
        <v>124</v>
      </c>
      <c r="G235" s="45">
        <v>124</v>
      </c>
      <c r="H235" s="45">
        <v>124</v>
      </c>
    </row>
    <row r="236" spans="1:8" ht="31.5">
      <c r="A236" s="40" t="s">
        <v>291</v>
      </c>
      <c r="B236" s="43" t="s">
        <v>306</v>
      </c>
      <c r="C236" s="43" t="s">
        <v>59</v>
      </c>
      <c r="D236" s="43" t="s">
        <v>65</v>
      </c>
      <c r="E236" s="74"/>
      <c r="F236" s="45">
        <f>F237</f>
        <v>50</v>
      </c>
      <c r="G236" s="45">
        <f>G237</f>
        <v>50</v>
      </c>
      <c r="H236" s="45">
        <f>H237</f>
        <v>50</v>
      </c>
    </row>
    <row r="237" spans="1:8" ht="47.25">
      <c r="A237" s="40" t="s">
        <v>20</v>
      </c>
      <c r="B237" s="43" t="s">
        <v>306</v>
      </c>
      <c r="C237" s="43" t="s">
        <v>59</v>
      </c>
      <c r="D237" s="43" t="s">
        <v>65</v>
      </c>
      <c r="E237" s="74" t="s">
        <v>100</v>
      </c>
      <c r="F237" s="45">
        <v>50</v>
      </c>
      <c r="G237" s="45">
        <v>50</v>
      </c>
      <c r="H237" s="45">
        <v>50</v>
      </c>
    </row>
    <row r="238" spans="1:8" ht="63">
      <c r="A238" s="40" t="s">
        <v>198</v>
      </c>
      <c r="B238" s="43" t="s">
        <v>307</v>
      </c>
      <c r="C238" s="43"/>
      <c r="D238" s="43"/>
      <c r="E238" s="74"/>
      <c r="F238" s="45">
        <f>F239+F241</f>
        <v>391.5</v>
      </c>
      <c r="G238" s="45">
        <f>G239+G241</f>
        <v>343.2</v>
      </c>
      <c r="H238" s="45">
        <f>H239+H241</f>
        <v>343.2</v>
      </c>
    </row>
    <row r="239" spans="1:8" ht="31.5">
      <c r="A239" s="40" t="s">
        <v>114</v>
      </c>
      <c r="B239" s="43" t="s">
        <v>308</v>
      </c>
      <c r="C239" s="43" t="s">
        <v>59</v>
      </c>
      <c r="D239" s="43" t="s">
        <v>52</v>
      </c>
      <c r="E239" s="74"/>
      <c r="F239" s="45">
        <f>F240</f>
        <v>322.9</v>
      </c>
      <c r="G239" s="45">
        <f>G240</f>
        <v>322.9</v>
      </c>
      <c r="H239" s="45">
        <f>H240</f>
        <v>322.9</v>
      </c>
    </row>
    <row r="240" spans="1:8" ht="15.75">
      <c r="A240" s="40" t="s">
        <v>110</v>
      </c>
      <c r="B240" s="43" t="s">
        <v>308</v>
      </c>
      <c r="C240" s="43" t="s">
        <v>59</v>
      </c>
      <c r="D240" s="43" t="s">
        <v>52</v>
      </c>
      <c r="E240" s="74" t="s">
        <v>111</v>
      </c>
      <c r="F240" s="45">
        <v>322.9</v>
      </c>
      <c r="G240" s="45">
        <v>322.9</v>
      </c>
      <c r="H240" s="45">
        <v>322.9</v>
      </c>
    </row>
    <row r="241" spans="1:8" ht="15.75">
      <c r="A241" s="37" t="s">
        <v>150</v>
      </c>
      <c r="B241" s="43" t="s">
        <v>426</v>
      </c>
      <c r="C241" s="43" t="s">
        <v>59</v>
      </c>
      <c r="D241" s="43" t="s">
        <v>59</v>
      </c>
      <c r="E241" s="74"/>
      <c r="F241" s="45">
        <f>F242</f>
        <v>68.6</v>
      </c>
      <c r="G241" s="45">
        <f>G242</f>
        <v>20.3</v>
      </c>
      <c r="H241" s="45">
        <f>H242</f>
        <v>20.3</v>
      </c>
    </row>
    <row r="242" spans="1:8" ht="15.75">
      <c r="A242" s="40" t="s">
        <v>110</v>
      </c>
      <c r="B242" s="43" t="s">
        <v>426</v>
      </c>
      <c r="C242" s="43" t="s">
        <v>59</v>
      </c>
      <c r="D242" s="43" t="s">
        <v>59</v>
      </c>
      <c r="E242" s="74" t="s">
        <v>111</v>
      </c>
      <c r="F242" s="45">
        <v>68.6</v>
      </c>
      <c r="G242" s="45">
        <v>20.3</v>
      </c>
      <c r="H242" s="45">
        <v>20.3</v>
      </c>
    </row>
    <row r="243" spans="1:8" ht="50.25" customHeight="1">
      <c r="A243" s="37" t="s">
        <v>138</v>
      </c>
      <c r="B243" s="43" t="s">
        <v>717</v>
      </c>
      <c r="C243" s="43"/>
      <c r="D243" s="43"/>
      <c r="E243" s="74"/>
      <c r="F243" s="45">
        <f>F244</f>
        <v>994.9</v>
      </c>
      <c r="G243" s="45">
        <f>G244</f>
        <v>994.9</v>
      </c>
      <c r="H243" s="45">
        <f>H244</f>
        <v>994.9</v>
      </c>
    </row>
    <row r="244" spans="1:8" ht="31.5">
      <c r="A244" s="156" t="s">
        <v>428</v>
      </c>
      <c r="B244" s="43" t="s">
        <v>718</v>
      </c>
      <c r="C244" s="43" t="s">
        <v>51</v>
      </c>
      <c r="D244" s="43" t="s">
        <v>56</v>
      </c>
      <c r="E244" s="43"/>
      <c r="F244" s="45">
        <f>F245+F246</f>
        <v>994.9</v>
      </c>
      <c r="G244" s="45">
        <f>G245+G246</f>
        <v>994.9</v>
      </c>
      <c r="H244" s="45">
        <f>H245+H246</f>
        <v>994.9</v>
      </c>
    </row>
    <row r="245" spans="1:8" ht="51.75" customHeight="1">
      <c r="A245" s="37" t="s">
        <v>96</v>
      </c>
      <c r="B245" s="43" t="s">
        <v>718</v>
      </c>
      <c r="C245" s="43" t="s">
        <v>51</v>
      </c>
      <c r="D245" s="43" t="s">
        <v>56</v>
      </c>
      <c r="E245" s="43" t="s">
        <v>97</v>
      </c>
      <c r="F245" s="45">
        <v>994.9</v>
      </c>
      <c r="G245" s="45">
        <v>994.9</v>
      </c>
      <c r="H245" s="45">
        <v>994.9</v>
      </c>
    </row>
    <row r="246" spans="1:8" ht="51.75" customHeight="1" hidden="1">
      <c r="A246" s="40" t="s">
        <v>20</v>
      </c>
      <c r="B246" s="43" t="s">
        <v>718</v>
      </c>
      <c r="C246" s="43" t="s">
        <v>51</v>
      </c>
      <c r="D246" s="43" t="s">
        <v>56</v>
      </c>
      <c r="E246" s="43" t="s">
        <v>100</v>
      </c>
      <c r="F246" s="45">
        <v>0</v>
      </c>
      <c r="G246" s="45">
        <v>0</v>
      </c>
      <c r="H246" s="45">
        <v>0</v>
      </c>
    </row>
    <row r="247" spans="1:8" ht="78.75">
      <c r="A247" s="37" t="s">
        <v>254</v>
      </c>
      <c r="B247" s="43" t="s">
        <v>715</v>
      </c>
      <c r="C247" s="43"/>
      <c r="D247" s="43"/>
      <c r="E247" s="74"/>
      <c r="F247" s="45">
        <f aca="true" t="shared" si="12" ref="F247:H248">F248</f>
        <v>1271.8</v>
      </c>
      <c r="G247" s="45">
        <f t="shared" si="12"/>
        <v>1350</v>
      </c>
      <c r="H247" s="45">
        <f t="shared" si="12"/>
        <v>0</v>
      </c>
    </row>
    <row r="248" spans="1:8" ht="94.5">
      <c r="A248" s="37" t="s">
        <v>411</v>
      </c>
      <c r="B248" s="43" t="s">
        <v>716</v>
      </c>
      <c r="C248" s="43" t="s">
        <v>86</v>
      </c>
      <c r="D248" s="43" t="s">
        <v>54</v>
      </c>
      <c r="E248" s="74"/>
      <c r="F248" s="45">
        <f t="shared" si="12"/>
        <v>1271.8</v>
      </c>
      <c r="G248" s="45">
        <f t="shared" si="12"/>
        <v>1350</v>
      </c>
      <c r="H248" s="45">
        <f t="shared" si="12"/>
        <v>0</v>
      </c>
    </row>
    <row r="249" spans="1:8" ht="47.25">
      <c r="A249" s="40" t="s">
        <v>221</v>
      </c>
      <c r="B249" s="43" t="s">
        <v>716</v>
      </c>
      <c r="C249" s="43" t="s">
        <v>86</v>
      </c>
      <c r="D249" s="43" t="s">
        <v>54</v>
      </c>
      <c r="E249" s="74" t="s">
        <v>222</v>
      </c>
      <c r="F249" s="59">
        <v>1271.8</v>
      </c>
      <c r="G249" s="59">
        <v>1350</v>
      </c>
      <c r="H249" s="45">
        <v>0</v>
      </c>
    </row>
    <row r="250" spans="1:8" ht="31.5">
      <c r="A250" s="40" t="s">
        <v>274</v>
      </c>
      <c r="B250" s="43" t="s">
        <v>22</v>
      </c>
      <c r="C250" s="43"/>
      <c r="D250" s="43"/>
      <c r="E250" s="74"/>
      <c r="F250" s="45">
        <f>F251</f>
        <v>3500</v>
      </c>
      <c r="G250" s="45">
        <f>G251</f>
        <v>3500</v>
      </c>
      <c r="H250" s="45">
        <f>H251</f>
        <v>3500</v>
      </c>
    </row>
    <row r="251" spans="1:8" ht="31.5">
      <c r="A251" s="40" t="s">
        <v>188</v>
      </c>
      <c r="B251" s="43" t="s">
        <v>719</v>
      </c>
      <c r="C251" s="43" t="s">
        <v>86</v>
      </c>
      <c r="D251" s="43" t="s">
        <v>51</v>
      </c>
      <c r="E251" s="74"/>
      <c r="F251" s="45">
        <f>F252+F253</f>
        <v>3500</v>
      </c>
      <c r="G251" s="45">
        <f>G252+G253</f>
        <v>3500</v>
      </c>
      <c r="H251" s="45">
        <f>H252+H253</f>
        <v>3500</v>
      </c>
    </row>
    <row r="252" spans="1:8" ht="47.25">
      <c r="A252" s="40" t="s">
        <v>20</v>
      </c>
      <c r="B252" s="43" t="s">
        <v>719</v>
      </c>
      <c r="C252" s="43" t="s">
        <v>86</v>
      </c>
      <c r="D252" s="43" t="s">
        <v>51</v>
      </c>
      <c r="E252" s="74" t="s">
        <v>100</v>
      </c>
      <c r="F252" s="94">
        <v>20</v>
      </c>
      <c r="G252" s="94">
        <v>20</v>
      </c>
      <c r="H252" s="94">
        <v>20</v>
      </c>
    </row>
    <row r="253" spans="1:8" ht="37.5" customHeight="1">
      <c r="A253" s="40" t="s">
        <v>416</v>
      </c>
      <c r="B253" s="43" t="s">
        <v>719</v>
      </c>
      <c r="C253" s="43" t="s">
        <v>86</v>
      </c>
      <c r="D253" s="43" t="s">
        <v>51</v>
      </c>
      <c r="E253" s="74" t="s">
        <v>415</v>
      </c>
      <c r="F253" s="94">
        <v>3480</v>
      </c>
      <c r="G253" s="94">
        <v>3480</v>
      </c>
      <c r="H253" s="94">
        <v>3480</v>
      </c>
    </row>
    <row r="254" spans="1:8" ht="63" customHeight="1">
      <c r="A254" s="40" t="s">
        <v>518</v>
      </c>
      <c r="B254" s="43" t="s">
        <v>519</v>
      </c>
      <c r="C254" s="43"/>
      <c r="D254" s="43"/>
      <c r="E254" s="43"/>
      <c r="F254" s="59">
        <f>F255</f>
        <v>1031.5</v>
      </c>
      <c r="G254" s="59">
        <f>G255</f>
        <v>1031.5</v>
      </c>
      <c r="H254" s="59">
        <f>H255</f>
        <v>1031.5</v>
      </c>
    </row>
    <row r="255" spans="1:8" ht="177.75" customHeight="1">
      <c r="A255" s="40" t="s">
        <v>445</v>
      </c>
      <c r="B255" s="43" t="s">
        <v>517</v>
      </c>
      <c r="C255" s="43" t="s">
        <v>86</v>
      </c>
      <c r="D255" s="43" t="s">
        <v>54</v>
      </c>
      <c r="E255" s="44"/>
      <c r="F255" s="127">
        <f>F257+F256</f>
        <v>1031.5</v>
      </c>
      <c r="G255" s="127">
        <f>G257+G256</f>
        <v>1031.5</v>
      </c>
      <c r="H255" s="127">
        <f>H257+H256</f>
        <v>1031.5</v>
      </c>
    </row>
    <row r="256" spans="1:8" ht="57.75" customHeight="1">
      <c r="A256" s="40" t="s">
        <v>20</v>
      </c>
      <c r="B256" s="43" t="s">
        <v>517</v>
      </c>
      <c r="C256" s="43" t="s">
        <v>86</v>
      </c>
      <c r="D256" s="43" t="s">
        <v>54</v>
      </c>
      <c r="E256" s="44" t="s">
        <v>100</v>
      </c>
      <c r="F256" s="127">
        <v>15.3</v>
      </c>
      <c r="G256" s="127">
        <v>15.3</v>
      </c>
      <c r="H256" s="127">
        <v>15.3</v>
      </c>
    </row>
    <row r="257" spans="1:8" ht="42" customHeight="1">
      <c r="A257" s="40" t="s">
        <v>416</v>
      </c>
      <c r="B257" s="43" t="s">
        <v>517</v>
      </c>
      <c r="C257" s="43" t="s">
        <v>86</v>
      </c>
      <c r="D257" s="43" t="s">
        <v>54</v>
      </c>
      <c r="E257" s="44" t="s">
        <v>415</v>
      </c>
      <c r="F257" s="127">
        <v>1016.2</v>
      </c>
      <c r="G257" s="127">
        <v>1016.2</v>
      </c>
      <c r="H257" s="127">
        <v>1016.2</v>
      </c>
    </row>
    <row r="258" spans="1:8" ht="78" customHeight="1">
      <c r="A258" s="50" t="s">
        <v>825</v>
      </c>
      <c r="B258" s="46" t="s">
        <v>334</v>
      </c>
      <c r="C258" s="46"/>
      <c r="D258" s="46"/>
      <c r="E258" s="103"/>
      <c r="F258" s="93">
        <f>F259+F271</f>
        <v>8407</v>
      </c>
      <c r="G258" s="93">
        <f>G259+G271</f>
        <v>7554</v>
      </c>
      <c r="H258" s="93">
        <f>H259+H271</f>
        <v>7554</v>
      </c>
    </row>
    <row r="259" spans="1:8" ht="36.75" customHeight="1">
      <c r="A259" s="40" t="s">
        <v>826</v>
      </c>
      <c r="B259" s="43" t="s">
        <v>335</v>
      </c>
      <c r="C259" s="43"/>
      <c r="D259" s="43"/>
      <c r="E259" s="74"/>
      <c r="F259" s="45">
        <f>F260+F265+F268</f>
        <v>6701.500000000001</v>
      </c>
      <c r="G259" s="45">
        <f>G260+G265+G268</f>
        <v>5854</v>
      </c>
      <c r="H259" s="45">
        <f>H260+H265+H268</f>
        <v>5854</v>
      </c>
    </row>
    <row r="260" spans="1:8" ht="47.25">
      <c r="A260" s="40" t="s">
        <v>827</v>
      </c>
      <c r="B260" s="43" t="s">
        <v>336</v>
      </c>
      <c r="C260" s="43"/>
      <c r="D260" s="43"/>
      <c r="E260" s="74"/>
      <c r="F260" s="45">
        <f aca="true" t="shared" si="13" ref="F260:H261">F261</f>
        <v>3819.2000000000003</v>
      </c>
      <c r="G260" s="45">
        <f t="shared" si="13"/>
        <v>3334</v>
      </c>
      <c r="H260" s="45">
        <f t="shared" si="13"/>
        <v>3334</v>
      </c>
    </row>
    <row r="261" spans="1:8" ht="15.75">
      <c r="A261" s="40" t="s">
        <v>223</v>
      </c>
      <c r="B261" s="43" t="s">
        <v>337</v>
      </c>
      <c r="C261" s="43" t="s">
        <v>51</v>
      </c>
      <c r="D261" s="43" t="s">
        <v>63</v>
      </c>
      <c r="E261" s="74"/>
      <c r="F261" s="45">
        <f>F262+F263+F264</f>
        <v>3819.2000000000003</v>
      </c>
      <c r="G261" s="45">
        <f t="shared" si="13"/>
        <v>3334</v>
      </c>
      <c r="H261" s="45">
        <f t="shared" si="13"/>
        <v>3334</v>
      </c>
    </row>
    <row r="262" spans="1:8" ht="47.25">
      <c r="A262" s="40" t="s">
        <v>20</v>
      </c>
      <c r="B262" s="43" t="s">
        <v>337</v>
      </c>
      <c r="C262" s="43" t="s">
        <v>51</v>
      </c>
      <c r="D262" s="43" t="s">
        <v>63</v>
      </c>
      <c r="E262" s="74" t="s">
        <v>100</v>
      </c>
      <c r="F262" s="94">
        <f>3334+155.3-0.1+250+70-3.7</f>
        <v>3805.5000000000005</v>
      </c>
      <c r="G262" s="94">
        <v>3334</v>
      </c>
      <c r="H262" s="94">
        <v>3334</v>
      </c>
    </row>
    <row r="263" spans="1:8" ht="15.75">
      <c r="A263" s="40" t="s">
        <v>992</v>
      </c>
      <c r="B263" s="43" t="s">
        <v>337</v>
      </c>
      <c r="C263" s="43" t="s">
        <v>51</v>
      </c>
      <c r="D263" s="43" t="s">
        <v>63</v>
      </c>
      <c r="E263" s="74" t="s">
        <v>991</v>
      </c>
      <c r="F263" s="94">
        <v>13.6</v>
      </c>
      <c r="G263" s="94"/>
      <c r="H263" s="94"/>
    </row>
    <row r="264" spans="1:8" ht="15.75">
      <c r="A264" s="40" t="s">
        <v>21</v>
      </c>
      <c r="B264" s="43" t="s">
        <v>337</v>
      </c>
      <c r="C264" s="43" t="s">
        <v>51</v>
      </c>
      <c r="D264" s="43" t="s">
        <v>63</v>
      </c>
      <c r="E264" s="74" t="s">
        <v>101</v>
      </c>
      <c r="F264" s="94">
        <f>0.5-0.4</f>
        <v>0.09999999999999998</v>
      </c>
      <c r="G264" s="94"/>
      <c r="H264" s="94"/>
    </row>
    <row r="265" spans="1:8" ht="52.5" customHeight="1">
      <c r="A265" s="40" t="s">
        <v>828</v>
      </c>
      <c r="B265" s="43" t="s">
        <v>338</v>
      </c>
      <c r="C265" s="43"/>
      <c r="D265" s="43"/>
      <c r="E265" s="74"/>
      <c r="F265" s="45">
        <f aca="true" t="shared" si="14" ref="F265:H266">F266</f>
        <v>1770</v>
      </c>
      <c r="G265" s="45">
        <f t="shared" si="14"/>
        <v>1470</v>
      </c>
      <c r="H265" s="45">
        <f t="shared" si="14"/>
        <v>1470</v>
      </c>
    </row>
    <row r="266" spans="1:8" ht="31.5">
      <c r="A266" s="40" t="s">
        <v>981</v>
      </c>
      <c r="B266" s="43" t="s">
        <v>339</v>
      </c>
      <c r="C266" s="43" t="s">
        <v>69</v>
      </c>
      <c r="D266" s="43" t="s">
        <v>51</v>
      </c>
      <c r="E266" s="74"/>
      <c r="F266" s="45">
        <f t="shared" si="14"/>
        <v>1770</v>
      </c>
      <c r="G266" s="45">
        <f t="shared" si="14"/>
        <v>1470</v>
      </c>
      <c r="H266" s="45">
        <f t="shared" si="14"/>
        <v>1470</v>
      </c>
    </row>
    <row r="267" spans="1:8" ht="47.25">
      <c r="A267" s="40" t="s">
        <v>20</v>
      </c>
      <c r="B267" s="43" t="s">
        <v>339</v>
      </c>
      <c r="C267" s="43" t="s">
        <v>69</v>
      </c>
      <c r="D267" s="43" t="s">
        <v>51</v>
      </c>
      <c r="E267" s="74" t="s">
        <v>100</v>
      </c>
      <c r="F267" s="94">
        <v>1770</v>
      </c>
      <c r="G267" s="94">
        <v>1470</v>
      </c>
      <c r="H267" s="94">
        <v>1470</v>
      </c>
    </row>
    <row r="268" spans="1:8" ht="35.25" customHeight="1">
      <c r="A268" s="40" t="s">
        <v>333</v>
      </c>
      <c r="B268" s="43" t="s">
        <v>340</v>
      </c>
      <c r="C268" s="43"/>
      <c r="D268" s="43"/>
      <c r="E268" s="74"/>
      <c r="F268" s="45">
        <f aca="true" t="shared" si="15" ref="F268:H269">F269</f>
        <v>1112.3</v>
      </c>
      <c r="G268" s="45">
        <f t="shared" si="15"/>
        <v>1050</v>
      </c>
      <c r="H268" s="45">
        <f t="shared" si="15"/>
        <v>1050</v>
      </c>
    </row>
    <row r="269" spans="1:8" ht="50.25" customHeight="1">
      <c r="A269" s="40" t="s">
        <v>829</v>
      </c>
      <c r="B269" s="43" t="s">
        <v>341</v>
      </c>
      <c r="C269" s="43" t="s">
        <v>69</v>
      </c>
      <c r="D269" s="43" t="s">
        <v>51</v>
      </c>
      <c r="E269" s="74"/>
      <c r="F269" s="45">
        <f t="shared" si="15"/>
        <v>1112.3</v>
      </c>
      <c r="G269" s="45">
        <f t="shared" si="15"/>
        <v>1050</v>
      </c>
      <c r="H269" s="45">
        <f t="shared" si="15"/>
        <v>1050</v>
      </c>
    </row>
    <row r="270" spans="1:8" ht="47.25">
      <c r="A270" s="40" t="s">
        <v>20</v>
      </c>
      <c r="B270" s="43" t="s">
        <v>341</v>
      </c>
      <c r="C270" s="43" t="s">
        <v>69</v>
      </c>
      <c r="D270" s="43" t="s">
        <v>51</v>
      </c>
      <c r="E270" s="74" t="s">
        <v>100</v>
      </c>
      <c r="F270" s="45">
        <f>1050+62.3</f>
        <v>1112.3</v>
      </c>
      <c r="G270" s="45">
        <v>1050</v>
      </c>
      <c r="H270" s="45">
        <v>1050</v>
      </c>
    </row>
    <row r="271" spans="1:8" ht="155.25" customHeight="1">
      <c r="A271" s="40" t="s">
        <v>830</v>
      </c>
      <c r="B271" s="43" t="s">
        <v>342</v>
      </c>
      <c r="C271" s="43"/>
      <c r="D271" s="43"/>
      <c r="E271" s="74"/>
      <c r="F271" s="45">
        <f>F272+F275</f>
        <v>1705.5</v>
      </c>
      <c r="G271" s="45">
        <f>G272+G275</f>
        <v>1700</v>
      </c>
      <c r="H271" s="45">
        <f>H272+H275</f>
        <v>1700</v>
      </c>
    </row>
    <row r="272" spans="1:8" ht="63">
      <c r="A272" s="40" t="s">
        <v>831</v>
      </c>
      <c r="B272" s="43" t="s">
        <v>343</v>
      </c>
      <c r="C272" s="43"/>
      <c r="D272" s="43"/>
      <c r="E272" s="74"/>
      <c r="F272" s="45">
        <f aca="true" t="shared" si="16" ref="F272:H273">F273</f>
        <v>1300</v>
      </c>
      <c r="G272" s="45">
        <f t="shared" si="16"/>
        <v>1300</v>
      </c>
      <c r="H272" s="45">
        <f t="shared" si="16"/>
        <v>1300</v>
      </c>
    </row>
    <row r="273" spans="1:8" ht="22.5" customHeight="1">
      <c r="A273" s="40" t="s">
        <v>223</v>
      </c>
      <c r="B273" s="43" t="s">
        <v>344</v>
      </c>
      <c r="C273" s="43" t="s">
        <v>51</v>
      </c>
      <c r="D273" s="43" t="s">
        <v>63</v>
      </c>
      <c r="E273" s="74"/>
      <c r="F273" s="45">
        <f t="shared" si="16"/>
        <v>1300</v>
      </c>
      <c r="G273" s="45">
        <f t="shared" si="16"/>
        <v>1300</v>
      </c>
      <c r="H273" s="45">
        <f t="shared" si="16"/>
        <v>1300</v>
      </c>
    </row>
    <row r="274" spans="1:8" ht="47.25">
      <c r="A274" s="40" t="s">
        <v>20</v>
      </c>
      <c r="B274" s="43" t="s">
        <v>344</v>
      </c>
      <c r="C274" s="43" t="s">
        <v>51</v>
      </c>
      <c r="D274" s="43" t="s">
        <v>63</v>
      </c>
      <c r="E274" s="43" t="s">
        <v>100</v>
      </c>
      <c r="F274" s="94">
        <v>1300</v>
      </c>
      <c r="G274" s="94">
        <v>1300</v>
      </c>
      <c r="H274" s="94">
        <v>1300</v>
      </c>
    </row>
    <row r="275" spans="1:8" ht="63">
      <c r="A275" s="40" t="s">
        <v>832</v>
      </c>
      <c r="B275" s="43" t="s">
        <v>515</v>
      </c>
      <c r="C275" s="43"/>
      <c r="D275" s="43"/>
      <c r="E275" s="74"/>
      <c r="F275" s="94">
        <f>F276+F280</f>
        <v>405.5</v>
      </c>
      <c r="G275" s="45">
        <f>G276</f>
        <v>400</v>
      </c>
      <c r="H275" s="45">
        <f>H276</f>
        <v>400</v>
      </c>
    </row>
    <row r="276" spans="1:8" ht="47.25">
      <c r="A276" s="40" t="s">
        <v>224</v>
      </c>
      <c r="B276" s="43" t="s">
        <v>516</v>
      </c>
      <c r="C276" s="43" t="s">
        <v>51</v>
      </c>
      <c r="D276" s="43" t="s">
        <v>63</v>
      </c>
      <c r="E276" s="74"/>
      <c r="F276" s="94">
        <f>F277+F278+F279</f>
        <v>403.4</v>
      </c>
      <c r="G276" s="45">
        <f>G277</f>
        <v>400</v>
      </c>
      <c r="H276" s="45">
        <f>H277</f>
        <v>400</v>
      </c>
    </row>
    <row r="277" spans="1:8" ht="47.25">
      <c r="A277" s="40" t="s">
        <v>20</v>
      </c>
      <c r="B277" s="43" t="s">
        <v>516</v>
      </c>
      <c r="C277" s="43" t="s">
        <v>51</v>
      </c>
      <c r="D277" s="43" t="s">
        <v>63</v>
      </c>
      <c r="E277" s="43" t="s">
        <v>100</v>
      </c>
      <c r="F277" s="94">
        <f>375-54</f>
        <v>321</v>
      </c>
      <c r="G277" s="94">
        <v>400</v>
      </c>
      <c r="H277" s="94">
        <v>400</v>
      </c>
    </row>
    <row r="278" spans="1:8" ht="15.75">
      <c r="A278" s="40" t="s">
        <v>992</v>
      </c>
      <c r="B278" s="43" t="s">
        <v>516</v>
      </c>
      <c r="C278" s="43" t="s">
        <v>51</v>
      </c>
      <c r="D278" s="43" t="s">
        <v>63</v>
      </c>
      <c r="E278" s="74" t="s">
        <v>991</v>
      </c>
      <c r="F278" s="94">
        <f>4.2+54</f>
        <v>58.2</v>
      </c>
      <c r="G278" s="94">
        <v>0</v>
      </c>
      <c r="H278" s="94">
        <v>0</v>
      </c>
    </row>
    <row r="279" spans="1:8" ht="15.75">
      <c r="A279" s="40" t="s">
        <v>21</v>
      </c>
      <c r="B279" s="43" t="s">
        <v>516</v>
      </c>
      <c r="C279" s="43" t="s">
        <v>51</v>
      </c>
      <c r="D279" s="43" t="s">
        <v>63</v>
      </c>
      <c r="E279" s="74" t="s">
        <v>101</v>
      </c>
      <c r="F279" s="94">
        <f>25-0.8</f>
        <v>24.2</v>
      </c>
      <c r="G279" s="94"/>
      <c r="H279" s="94"/>
    </row>
    <row r="280" spans="1:8" ht="47.25">
      <c r="A280" s="40" t="s">
        <v>224</v>
      </c>
      <c r="B280" s="43" t="s">
        <v>516</v>
      </c>
      <c r="C280" s="43" t="s">
        <v>69</v>
      </c>
      <c r="D280" s="43" t="s">
        <v>51</v>
      </c>
      <c r="E280" s="74"/>
      <c r="F280" s="94">
        <f>F281</f>
        <v>2.1</v>
      </c>
      <c r="G280" s="94">
        <f>G281</f>
        <v>0</v>
      </c>
      <c r="H280" s="94">
        <f>H281</f>
        <v>0</v>
      </c>
    </row>
    <row r="281" spans="1:8" ht="47.25">
      <c r="A281" s="40" t="s">
        <v>20</v>
      </c>
      <c r="B281" s="43" t="s">
        <v>516</v>
      </c>
      <c r="C281" s="43" t="s">
        <v>69</v>
      </c>
      <c r="D281" s="43" t="s">
        <v>51</v>
      </c>
      <c r="E281" s="74" t="s">
        <v>100</v>
      </c>
      <c r="F281" s="94">
        <v>2.1</v>
      </c>
      <c r="G281" s="94">
        <v>0</v>
      </c>
      <c r="H281" s="94">
        <v>0</v>
      </c>
    </row>
    <row r="282" spans="1:8" ht="31.5">
      <c r="A282" s="186" t="s">
        <v>738</v>
      </c>
      <c r="B282" s="46" t="s">
        <v>132</v>
      </c>
      <c r="C282" s="46"/>
      <c r="D282" s="46"/>
      <c r="E282" s="103"/>
      <c r="F282" s="93">
        <f>F283+F301+F305</f>
        <v>3910.6</v>
      </c>
      <c r="G282" s="93">
        <f>G283+G301+G305</f>
        <v>3897.1</v>
      </c>
      <c r="H282" s="93">
        <f>H283+H301+H305</f>
        <v>3886.5</v>
      </c>
    </row>
    <row r="283" spans="1:8" ht="31.5">
      <c r="A283" s="37" t="s">
        <v>233</v>
      </c>
      <c r="B283" s="43" t="s">
        <v>241</v>
      </c>
      <c r="C283" s="43"/>
      <c r="D283" s="43"/>
      <c r="E283" s="74"/>
      <c r="F283" s="45">
        <f>F284+F292+F296+F288</f>
        <v>713.2</v>
      </c>
      <c r="G283" s="45">
        <f>G284+G292+G296+G288</f>
        <v>653.2</v>
      </c>
      <c r="H283" s="45">
        <f>H284+H292+H296+H288</f>
        <v>653.2</v>
      </c>
    </row>
    <row r="284" spans="1:8" ht="47.25">
      <c r="A284" s="37" t="s">
        <v>234</v>
      </c>
      <c r="B284" s="43" t="s">
        <v>242</v>
      </c>
      <c r="C284" s="43"/>
      <c r="D284" s="43"/>
      <c r="E284" s="74"/>
      <c r="F284" s="45">
        <f>F285</f>
        <v>65.7</v>
      </c>
      <c r="G284" s="45">
        <f>G285</f>
        <v>65.7</v>
      </c>
      <c r="H284" s="45">
        <f>H285</f>
        <v>65.7</v>
      </c>
    </row>
    <row r="285" spans="1:8" ht="31.5">
      <c r="A285" s="37" t="s">
        <v>231</v>
      </c>
      <c r="B285" s="43" t="s">
        <v>251</v>
      </c>
      <c r="C285" s="43" t="s">
        <v>59</v>
      </c>
      <c r="D285" s="43" t="s">
        <v>59</v>
      </c>
      <c r="E285" s="74"/>
      <c r="F285" s="45">
        <f>F287+F286</f>
        <v>65.7</v>
      </c>
      <c r="G285" s="45">
        <f>G287+G286</f>
        <v>65.7</v>
      </c>
      <c r="H285" s="45">
        <f>H287+H286</f>
        <v>65.7</v>
      </c>
    </row>
    <row r="286" spans="1:8" ht="31.5">
      <c r="A286" s="37" t="s">
        <v>96</v>
      </c>
      <c r="B286" s="43" t="s">
        <v>251</v>
      </c>
      <c r="C286" s="43" t="s">
        <v>59</v>
      </c>
      <c r="D286" s="43" t="s">
        <v>59</v>
      </c>
      <c r="E286" s="74" t="s">
        <v>97</v>
      </c>
      <c r="F286" s="45">
        <v>8</v>
      </c>
      <c r="G286" s="45">
        <v>8</v>
      </c>
      <c r="H286" s="45">
        <v>8</v>
      </c>
    </row>
    <row r="287" spans="1:8" ht="47.25">
      <c r="A287" s="40" t="s">
        <v>20</v>
      </c>
      <c r="B287" s="43" t="s">
        <v>251</v>
      </c>
      <c r="C287" s="43" t="s">
        <v>59</v>
      </c>
      <c r="D287" s="43" t="s">
        <v>59</v>
      </c>
      <c r="E287" s="74" t="s">
        <v>100</v>
      </c>
      <c r="F287" s="45">
        <f>77.7-20</f>
        <v>57.7</v>
      </c>
      <c r="G287" s="45">
        <f>77.7-20</f>
        <v>57.7</v>
      </c>
      <c r="H287" s="45">
        <f>77.7-20</f>
        <v>57.7</v>
      </c>
    </row>
    <row r="288" spans="1:8" ht="47.25">
      <c r="A288" s="40" t="s">
        <v>511</v>
      </c>
      <c r="B288" s="43" t="s">
        <v>513</v>
      </c>
      <c r="C288" s="43"/>
      <c r="D288" s="43"/>
      <c r="E288" s="43"/>
      <c r="F288" s="59">
        <f>F289</f>
        <v>12</v>
      </c>
      <c r="G288" s="59">
        <f>G289</f>
        <v>12</v>
      </c>
      <c r="H288" s="59">
        <f>H289</f>
        <v>12</v>
      </c>
    </row>
    <row r="289" spans="1:8" ht="31.5">
      <c r="A289" s="40" t="s">
        <v>231</v>
      </c>
      <c r="B289" s="43" t="s">
        <v>512</v>
      </c>
      <c r="C289" s="43" t="s">
        <v>59</v>
      </c>
      <c r="D289" s="43" t="s">
        <v>59</v>
      </c>
      <c r="E289" s="43"/>
      <c r="F289" s="59">
        <f>F291+F290</f>
        <v>12</v>
      </c>
      <c r="G289" s="59">
        <f>G291+G290</f>
        <v>12</v>
      </c>
      <c r="H289" s="59">
        <f>H291+H290</f>
        <v>12</v>
      </c>
    </row>
    <row r="290" spans="1:8" ht="31.5">
      <c r="A290" s="37" t="s">
        <v>96</v>
      </c>
      <c r="B290" s="43" t="s">
        <v>512</v>
      </c>
      <c r="C290" s="43" t="s">
        <v>59</v>
      </c>
      <c r="D290" s="43" t="s">
        <v>59</v>
      </c>
      <c r="E290" s="43" t="s">
        <v>97</v>
      </c>
      <c r="F290" s="59">
        <v>12</v>
      </c>
      <c r="G290" s="59">
        <v>12</v>
      </c>
      <c r="H290" s="59">
        <v>12</v>
      </c>
    </row>
    <row r="291" spans="1:8" ht="47.25">
      <c r="A291" s="40" t="s">
        <v>20</v>
      </c>
      <c r="B291" s="43" t="s">
        <v>512</v>
      </c>
      <c r="C291" s="43" t="s">
        <v>59</v>
      </c>
      <c r="D291" s="43" t="s">
        <v>59</v>
      </c>
      <c r="E291" s="43" t="s">
        <v>100</v>
      </c>
      <c r="F291" s="59">
        <v>0</v>
      </c>
      <c r="G291" s="59">
        <v>0</v>
      </c>
      <c r="H291" s="59">
        <v>0</v>
      </c>
    </row>
    <row r="292" spans="1:8" ht="47.25">
      <c r="A292" s="40" t="s">
        <v>236</v>
      </c>
      <c r="B292" s="43" t="s">
        <v>244</v>
      </c>
      <c r="C292" s="43"/>
      <c r="D292" s="43"/>
      <c r="E292" s="74"/>
      <c r="F292" s="45">
        <f>F293</f>
        <v>115.5</v>
      </c>
      <c r="G292" s="45">
        <f>G293</f>
        <v>115.5</v>
      </c>
      <c r="H292" s="45">
        <f>H293</f>
        <v>115.5</v>
      </c>
    </row>
    <row r="293" spans="1:8" ht="31.5">
      <c r="A293" s="37" t="s">
        <v>231</v>
      </c>
      <c r="B293" s="43" t="s">
        <v>253</v>
      </c>
      <c r="C293" s="43" t="s">
        <v>59</v>
      </c>
      <c r="D293" s="43" t="s">
        <v>59</v>
      </c>
      <c r="E293" s="74"/>
      <c r="F293" s="45">
        <f>F295+F294</f>
        <v>115.5</v>
      </c>
      <c r="G293" s="45">
        <f>G295+G294</f>
        <v>115.5</v>
      </c>
      <c r="H293" s="45">
        <f>H295+H294</f>
        <v>115.5</v>
      </c>
    </row>
    <row r="294" spans="1:8" ht="31.5">
      <c r="A294" s="37" t="s">
        <v>96</v>
      </c>
      <c r="B294" s="43" t="s">
        <v>253</v>
      </c>
      <c r="C294" s="43" t="s">
        <v>59</v>
      </c>
      <c r="D294" s="43" t="s">
        <v>59</v>
      </c>
      <c r="E294" s="74" t="s">
        <v>97</v>
      </c>
      <c r="F294" s="45">
        <v>96.5</v>
      </c>
      <c r="G294" s="45">
        <v>48.5</v>
      </c>
      <c r="H294" s="45">
        <v>48.5</v>
      </c>
    </row>
    <row r="295" spans="1:8" ht="47.25">
      <c r="A295" s="40" t="s">
        <v>20</v>
      </c>
      <c r="B295" s="43" t="s">
        <v>253</v>
      </c>
      <c r="C295" s="43" t="s">
        <v>59</v>
      </c>
      <c r="D295" s="43" t="s">
        <v>59</v>
      </c>
      <c r="E295" s="74" t="s">
        <v>100</v>
      </c>
      <c r="F295" s="45">
        <v>19</v>
      </c>
      <c r="G295" s="45">
        <f>97-30</f>
        <v>67</v>
      </c>
      <c r="H295" s="45">
        <f>97-30</f>
        <v>67</v>
      </c>
    </row>
    <row r="296" spans="1:8" ht="63">
      <c r="A296" s="40" t="s">
        <v>237</v>
      </c>
      <c r="B296" s="43" t="s">
        <v>239</v>
      </c>
      <c r="C296" s="43"/>
      <c r="D296" s="43"/>
      <c r="E296" s="74"/>
      <c r="F296" s="45">
        <f>F297+F299</f>
        <v>520</v>
      </c>
      <c r="G296" s="45">
        <f>G297+G299</f>
        <v>460</v>
      </c>
      <c r="H296" s="45">
        <f>H297+H299</f>
        <v>460</v>
      </c>
    </row>
    <row r="297" spans="1:8" ht="15.75">
      <c r="A297" s="107" t="s">
        <v>220</v>
      </c>
      <c r="B297" s="43" t="s">
        <v>238</v>
      </c>
      <c r="C297" s="43" t="s">
        <v>51</v>
      </c>
      <c r="D297" s="43" t="s">
        <v>63</v>
      </c>
      <c r="E297" s="74"/>
      <c r="F297" s="45">
        <f>F298</f>
        <v>408</v>
      </c>
      <c r="G297" s="45">
        <f>G298</f>
        <v>348</v>
      </c>
      <c r="H297" s="45">
        <f>H298</f>
        <v>348</v>
      </c>
    </row>
    <row r="298" spans="1:8" ht="15.75">
      <c r="A298" s="107" t="s">
        <v>146</v>
      </c>
      <c r="B298" s="43" t="s">
        <v>238</v>
      </c>
      <c r="C298" s="43" t="s">
        <v>51</v>
      </c>
      <c r="D298" s="43" t="s">
        <v>63</v>
      </c>
      <c r="E298" s="74" t="s">
        <v>145</v>
      </c>
      <c r="F298" s="45">
        <v>408</v>
      </c>
      <c r="G298" s="45">
        <v>348</v>
      </c>
      <c r="H298" s="45">
        <v>348</v>
      </c>
    </row>
    <row r="299" spans="1:8" ht="15.75">
      <c r="A299" s="107" t="s">
        <v>220</v>
      </c>
      <c r="B299" s="43" t="s">
        <v>238</v>
      </c>
      <c r="C299" s="43" t="s">
        <v>59</v>
      </c>
      <c r="D299" s="43" t="s">
        <v>65</v>
      </c>
      <c r="E299" s="74"/>
      <c r="F299" s="45">
        <f>F300</f>
        <v>112</v>
      </c>
      <c r="G299" s="45">
        <f>G300</f>
        <v>112</v>
      </c>
      <c r="H299" s="45">
        <f>H300</f>
        <v>112</v>
      </c>
    </row>
    <row r="300" spans="1:8" ht="15.75">
      <c r="A300" s="107" t="s">
        <v>146</v>
      </c>
      <c r="B300" s="43" t="s">
        <v>238</v>
      </c>
      <c r="C300" s="43" t="s">
        <v>59</v>
      </c>
      <c r="D300" s="43" t="s">
        <v>65</v>
      </c>
      <c r="E300" s="74" t="s">
        <v>145</v>
      </c>
      <c r="F300" s="45">
        <v>112</v>
      </c>
      <c r="G300" s="45">
        <v>112</v>
      </c>
      <c r="H300" s="45">
        <v>112</v>
      </c>
    </row>
    <row r="301" spans="1:8" ht="47.25">
      <c r="A301" s="124" t="s">
        <v>414</v>
      </c>
      <c r="B301" s="43" t="s">
        <v>245</v>
      </c>
      <c r="C301" s="43"/>
      <c r="D301" s="43"/>
      <c r="E301" s="74"/>
      <c r="F301" s="45">
        <f aca="true" t="shared" si="17" ref="F301:H303">F302</f>
        <v>642.6</v>
      </c>
      <c r="G301" s="45">
        <f t="shared" si="17"/>
        <v>640.8</v>
      </c>
      <c r="H301" s="45">
        <f t="shared" si="17"/>
        <v>630.2</v>
      </c>
    </row>
    <row r="302" spans="1:8" ht="47.25">
      <c r="A302" s="124" t="s">
        <v>376</v>
      </c>
      <c r="B302" s="43" t="s">
        <v>246</v>
      </c>
      <c r="C302" s="43"/>
      <c r="D302" s="43"/>
      <c r="E302" s="74"/>
      <c r="F302" s="45">
        <f t="shared" si="17"/>
        <v>642.6</v>
      </c>
      <c r="G302" s="45">
        <f t="shared" si="17"/>
        <v>640.8</v>
      </c>
      <c r="H302" s="45">
        <f t="shared" si="17"/>
        <v>630.2</v>
      </c>
    </row>
    <row r="303" spans="1:8" ht="31.5">
      <c r="A303" s="124" t="s">
        <v>477</v>
      </c>
      <c r="B303" s="43" t="s">
        <v>402</v>
      </c>
      <c r="C303" s="43" t="s">
        <v>86</v>
      </c>
      <c r="D303" s="43" t="s">
        <v>54</v>
      </c>
      <c r="E303" s="74"/>
      <c r="F303" s="45">
        <f t="shared" si="17"/>
        <v>642.6</v>
      </c>
      <c r="G303" s="45">
        <f t="shared" si="17"/>
        <v>640.8</v>
      </c>
      <c r="H303" s="45">
        <f t="shared" si="17"/>
        <v>630.2</v>
      </c>
    </row>
    <row r="304" spans="1:8" ht="37.5" customHeight="1">
      <c r="A304" s="40" t="s">
        <v>221</v>
      </c>
      <c r="B304" s="43" t="s">
        <v>402</v>
      </c>
      <c r="C304" s="43" t="s">
        <v>86</v>
      </c>
      <c r="D304" s="43" t="s">
        <v>54</v>
      </c>
      <c r="E304" s="74" t="s">
        <v>222</v>
      </c>
      <c r="F304" s="146">
        <v>642.6</v>
      </c>
      <c r="G304" s="47">
        <f>426.6+214.2</f>
        <v>640.8</v>
      </c>
      <c r="H304" s="47">
        <f>416+214.2</f>
        <v>630.2</v>
      </c>
    </row>
    <row r="305" spans="1:8" ht="31.5">
      <c r="A305" s="124" t="s">
        <v>313</v>
      </c>
      <c r="B305" s="43" t="s">
        <v>247</v>
      </c>
      <c r="C305" s="43"/>
      <c r="D305" s="43"/>
      <c r="E305" s="74"/>
      <c r="F305" s="45">
        <f>F306</f>
        <v>2554.7999999999997</v>
      </c>
      <c r="G305" s="45">
        <f>G306</f>
        <v>2603.1</v>
      </c>
      <c r="H305" s="45">
        <f>H306</f>
        <v>2603.1</v>
      </c>
    </row>
    <row r="306" spans="1:8" ht="63">
      <c r="A306" s="124" t="s">
        <v>240</v>
      </c>
      <c r="B306" s="43" t="s">
        <v>248</v>
      </c>
      <c r="C306" s="43"/>
      <c r="D306" s="43"/>
      <c r="E306" s="74"/>
      <c r="F306" s="45">
        <f>F307+F309</f>
        <v>2554.7999999999997</v>
      </c>
      <c r="G306" s="45">
        <f>G307+G309</f>
        <v>2603.1</v>
      </c>
      <c r="H306" s="45">
        <f>H307+H309</f>
        <v>2603.1</v>
      </c>
    </row>
    <row r="307" spans="1:8" ht="15.75">
      <c r="A307" s="124" t="s">
        <v>250</v>
      </c>
      <c r="B307" s="43" t="s">
        <v>249</v>
      </c>
      <c r="C307" s="43" t="s">
        <v>59</v>
      </c>
      <c r="D307" s="43" t="s">
        <v>59</v>
      </c>
      <c r="E307" s="74"/>
      <c r="F307" s="45">
        <f>F308</f>
        <v>1925.8999999999999</v>
      </c>
      <c r="G307" s="45">
        <f>G308</f>
        <v>1964.6999999999998</v>
      </c>
      <c r="H307" s="45">
        <f>H308</f>
        <v>1954.8999999999999</v>
      </c>
    </row>
    <row r="308" spans="1:8" ht="15.75">
      <c r="A308" s="40" t="s">
        <v>110</v>
      </c>
      <c r="B308" s="43" t="s">
        <v>249</v>
      </c>
      <c r="C308" s="43" t="s">
        <v>59</v>
      </c>
      <c r="D308" s="43" t="s">
        <v>59</v>
      </c>
      <c r="E308" s="74" t="s">
        <v>111</v>
      </c>
      <c r="F308" s="45">
        <v>1925.8999999999999</v>
      </c>
      <c r="G308" s="45">
        <f>2603.1-638.4</f>
        <v>1964.6999999999998</v>
      </c>
      <c r="H308" s="45">
        <f>2603.1-648.2</f>
        <v>1954.8999999999999</v>
      </c>
    </row>
    <row r="309" spans="1:8" ht="47.25">
      <c r="A309" s="40" t="s">
        <v>462</v>
      </c>
      <c r="B309" s="43" t="s">
        <v>465</v>
      </c>
      <c r="C309" s="43" t="s">
        <v>59</v>
      </c>
      <c r="D309" s="43" t="s">
        <v>59</v>
      </c>
      <c r="E309" s="43"/>
      <c r="F309" s="94">
        <f>F310</f>
        <v>628.9</v>
      </c>
      <c r="G309" s="94">
        <f>G310</f>
        <v>638.4</v>
      </c>
      <c r="H309" s="94">
        <f>H310</f>
        <v>648.2</v>
      </c>
    </row>
    <row r="310" spans="1:8" ht="15.75">
      <c r="A310" s="40" t="s">
        <v>110</v>
      </c>
      <c r="B310" s="43" t="s">
        <v>465</v>
      </c>
      <c r="C310" s="43" t="s">
        <v>59</v>
      </c>
      <c r="D310" s="43" t="s">
        <v>59</v>
      </c>
      <c r="E310" s="43" t="s">
        <v>111</v>
      </c>
      <c r="F310" s="94">
        <v>628.9</v>
      </c>
      <c r="G310" s="94">
        <v>638.4</v>
      </c>
      <c r="H310" s="94">
        <v>648.2</v>
      </c>
    </row>
    <row r="311" spans="1:8" ht="63">
      <c r="A311" s="50" t="s">
        <v>840</v>
      </c>
      <c r="B311" s="46" t="s">
        <v>368</v>
      </c>
      <c r="C311" s="46"/>
      <c r="D311" s="46"/>
      <c r="E311" s="103"/>
      <c r="F311" s="93">
        <f>F315+F312+F331+F334+F322+F337</f>
        <v>24491.6</v>
      </c>
      <c r="G311" s="93">
        <f>G315+G312+G331+G334+G322</f>
        <v>1800</v>
      </c>
      <c r="H311" s="93">
        <f>H315+H312+H331+H334+H322</f>
        <v>1800</v>
      </c>
    </row>
    <row r="312" spans="1:8" ht="94.5">
      <c r="A312" s="40" t="s">
        <v>841</v>
      </c>
      <c r="B312" s="43" t="s">
        <v>407</v>
      </c>
      <c r="C312" s="43" t="s">
        <v>69</v>
      </c>
      <c r="D312" s="43" t="s">
        <v>52</v>
      </c>
      <c r="E312" s="43"/>
      <c r="F312" s="145">
        <f aca="true" t="shared" si="18" ref="F312:H313">F313</f>
        <v>0</v>
      </c>
      <c r="G312" s="145">
        <f t="shared" si="18"/>
        <v>1300</v>
      </c>
      <c r="H312" s="145">
        <f t="shared" si="18"/>
        <v>1300</v>
      </c>
    </row>
    <row r="313" spans="1:8" ht="63">
      <c r="A313" s="40" t="s">
        <v>842</v>
      </c>
      <c r="B313" s="43" t="s">
        <v>408</v>
      </c>
      <c r="C313" s="43" t="s">
        <v>69</v>
      </c>
      <c r="D313" s="43" t="s">
        <v>52</v>
      </c>
      <c r="E313" s="43"/>
      <c r="F313" s="145">
        <f t="shared" si="18"/>
        <v>0</v>
      </c>
      <c r="G313" s="145">
        <f t="shared" si="18"/>
        <v>1300</v>
      </c>
      <c r="H313" s="145">
        <f t="shared" si="18"/>
        <v>1300</v>
      </c>
    </row>
    <row r="314" spans="1:8" ht="78.75">
      <c r="A314" s="40" t="s">
        <v>355</v>
      </c>
      <c r="B314" s="43" t="s">
        <v>408</v>
      </c>
      <c r="C314" s="43" t="s">
        <v>69</v>
      </c>
      <c r="D314" s="43" t="s">
        <v>52</v>
      </c>
      <c r="E314" s="43" t="s">
        <v>356</v>
      </c>
      <c r="F314" s="145">
        <v>0</v>
      </c>
      <c r="G314" s="145">
        <v>1300</v>
      </c>
      <c r="H314" s="145">
        <v>1300</v>
      </c>
    </row>
    <row r="315" spans="1:8" ht="64.5" customHeight="1">
      <c r="A315" s="40" t="s">
        <v>843</v>
      </c>
      <c r="B315" s="43" t="s">
        <v>345</v>
      </c>
      <c r="C315" s="43"/>
      <c r="D315" s="43"/>
      <c r="E315" s="74"/>
      <c r="F315" s="45">
        <f>F318+F320+F316</f>
        <v>7040.099999999999</v>
      </c>
      <c r="G315" s="45">
        <f>G318+G320+G316</f>
        <v>0</v>
      </c>
      <c r="H315" s="45">
        <f>H318+H320+H316</f>
        <v>0</v>
      </c>
    </row>
    <row r="316" spans="1:8" ht="31.5">
      <c r="A316" s="40" t="s">
        <v>442</v>
      </c>
      <c r="B316" s="43" t="s">
        <v>443</v>
      </c>
      <c r="C316" s="43" t="s">
        <v>69</v>
      </c>
      <c r="D316" s="43" t="s">
        <v>52</v>
      </c>
      <c r="E316" s="43"/>
      <c r="F316" s="59">
        <f>F317</f>
        <v>776</v>
      </c>
      <c r="G316" s="59">
        <f>G317</f>
        <v>0</v>
      </c>
      <c r="H316" s="59">
        <f>H317</f>
        <v>0</v>
      </c>
    </row>
    <row r="317" spans="1:8" ht="47.25">
      <c r="A317" s="40" t="s">
        <v>20</v>
      </c>
      <c r="B317" s="43" t="s">
        <v>443</v>
      </c>
      <c r="C317" s="43" t="s">
        <v>69</v>
      </c>
      <c r="D317" s="43" t="s">
        <v>52</v>
      </c>
      <c r="E317" s="43" t="s">
        <v>100</v>
      </c>
      <c r="F317" s="59">
        <v>776</v>
      </c>
      <c r="G317" s="59">
        <v>0</v>
      </c>
      <c r="H317" s="59">
        <v>0</v>
      </c>
    </row>
    <row r="318" spans="1:8" ht="31.5">
      <c r="A318" s="40" t="s">
        <v>421</v>
      </c>
      <c r="B318" s="43" t="s">
        <v>400</v>
      </c>
      <c r="C318" s="43" t="s">
        <v>69</v>
      </c>
      <c r="D318" s="43" t="s">
        <v>52</v>
      </c>
      <c r="E318" s="74"/>
      <c r="F318" s="94">
        <f>F319</f>
        <v>5950.9</v>
      </c>
      <c r="G318" s="94">
        <f>G319</f>
        <v>0</v>
      </c>
      <c r="H318" s="94">
        <f>H319</f>
        <v>0</v>
      </c>
    </row>
    <row r="319" spans="1:8" ht="47.25">
      <c r="A319" s="40" t="s">
        <v>20</v>
      </c>
      <c r="B319" s="43" t="s">
        <v>400</v>
      </c>
      <c r="C319" s="43" t="s">
        <v>69</v>
      </c>
      <c r="D319" s="43" t="s">
        <v>52</v>
      </c>
      <c r="E319" s="74" t="s">
        <v>100</v>
      </c>
      <c r="F319" s="94">
        <v>5950.9</v>
      </c>
      <c r="G319" s="45">
        <v>0</v>
      </c>
      <c r="H319" s="45">
        <v>0</v>
      </c>
    </row>
    <row r="320" spans="1:8" ht="47.25">
      <c r="A320" s="40" t="s">
        <v>422</v>
      </c>
      <c r="B320" s="43" t="s">
        <v>401</v>
      </c>
      <c r="C320" s="43" t="s">
        <v>69</v>
      </c>
      <c r="D320" s="43" t="s">
        <v>52</v>
      </c>
      <c r="E320" s="74"/>
      <c r="F320" s="94">
        <f>F321</f>
        <v>313.2</v>
      </c>
      <c r="G320" s="94">
        <f>G321</f>
        <v>0</v>
      </c>
      <c r="H320" s="94">
        <f>H321</f>
        <v>0</v>
      </c>
    </row>
    <row r="321" spans="1:8" ht="47.25">
      <c r="A321" s="40" t="s">
        <v>20</v>
      </c>
      <c r="B321" s="43" t="s">
        <v>401</v>
      </c>
      <c r="C321" s="43" t="s">
        <v>69</v>
      </c>
      <c r="D321" s="43" t="s">
        <v>52</v>
      </c>
      <c r="E321" s="74" t="s">
        <v>100</v>
      </c>
      <c r="F321" s="94">
        <v>313.2</v>
      </c>
      <c r="G321" s="45">
        <v>0</v>
      </c>
      <c r="H321" s="45">
        <v>0</v>
      </c>
    </row>
    <row r="322" spans="1:8" ht="87.75" customHeight="1">
      <c r="A322" s="40" t="s">
        <v>844</v>
      </c>
      <c r="B322" s="43" t="s">
        <v>536</v>
      </c>
      <c r="C322" s="43"/>
      <c r="D322" s="43"/>
      <c r="E322" s="43"/>
      <c r="F322" s="59">
        <f>F325+F327+F329+F323</f>
        <v>16701.5</v>
      </c>
      <c r="G322" s="59">
        <f>G325+G327+G329</f>
        <v>0</v>
      </c>
      <c r="H322" s="59">
        <f>H325+H327+H329</f>
        <v>0</v>
      </c>
    </row>
    <row r="323" spans="1:8" ht="42.75" customHeight="1">
      <c r="A323" s="40" t="s">
        <v>442</v>
      </c>
      <c r="B323" s="43" t="s">
        <v>1001</v>
      </c>
      <c r="C323" s="43" t="s">
        <v>69</v>
      </c>
      <c r="D323" s="43" t="s">
        <v>52</v>
      </c>
      <c r="E323" s="43"/>
      <c r="F323" s="59">
        <f>F324</f>
        <v>7014.7</v>
      </c>
      <c r="G323" s="59"/>
      <c r="H323" s="59"/>
    </row>
    <row r="324" spans="1:8" ht="15.75">
      <c r="A324" s="40" t="s">
        <v>420</v>
      </c>
      <c r="B324" s="43" t="s">
        <v>1001</v>
      </c>
      <c r="C324" s="43" t="s">
        <v>69</v>
      </c>
      <c r="D324" s="43" t="s">
        <v>52</v>
      </c>
      <c r="E324" s="43" t="s">
        <v>419</v>
      </c>
      <c r="F324" s="59">
        <v>7014.7</v>
      </c>
      <c r="G324" s="59"/>
      <c r="H324" s="59"/>
    </row>
    <row r="325" spans="1:8" ht="31.5">
      <c r="A325" s="40" t="s">
        <v>421</v>
      </c>
      <c r="B325" s="43" t="s">
        <v>845</v>
      </c>
      <c r="C325" s="43" t="s">
        <v>69</v>
      </c>
      <c r="D325" s="43" t="s">
        <v>52</v>
      </c>
      <c r="E325" s="74"/>
      <c r="F325" s="94">
        <f>F326</f>
        <v>950</v>
      </c>
      <c r="G325" s="94"/>
      <c r="H325" s="94"/>
    </row>
    <row r="326" spans="1:8" ht="47.25">
      <c r="A326" s="40" t="s">
        <v>20</v>
      </c>
      <c r="B326" s="43" t="s">
        <v>845</v>
      </c>
      <c r="C326" s="43" t="s">
        <v>69</v>
      </c>
      <c r="D326" s="43" t="s">
        <v>52</v>
      </c>
      <c r="E326" s="74" t="s">
        <v>100</v>
      </c>
      <c r="F326" s="94">
        <v>950</v>
      </c>
      <c r="G326" s="94"/>
      <c r="H326" s="94"/>
    </row>
    <row r="327" spans="1:8" ht="47.25">
      <c r="A327" s="40" t="s">
        <v>422</v>
      </c>
      <c r="B327" s="43" t="s">
        <v>846</v>
      </c>
      <c r="C327" s="43" t="s">
        <v>69</v>
      </c>
      <c r="D327" s="43" t="s">
        <v>52</v>
      </c>
      <c r="E327" s="74"/>
      <c r="F327" s="94">
        <f>F328</f>
        <v>50</v>
      </c>
      <c r="G327" s="94"/>
      <c r="H327" s="94"/>
    </row>
    <row r="328" spans="1:8" ht="47.25">
      <c r="A328" s="40" t="s">
        <v>20</v>
      </c>
      <c r="B328" s="43" t="s">
        <v>846</v>
      </c>
      <c r="C328" s="43" t="s">
        <v>69</v>
      </c>
      <c r="D328" s="43" t="s">
        <v>52</v>
      </c>
      <c r="E328" s="74" t="s">
        <v>100</v>
      </c>
      <c r="F328" s="94">
        <f>50</f>
        <v>50</v>
      </c>
      <c r="G328" s="94"/>
      <c r="H328" s="94"/>
    </row>
    <row r="329" spans="1:8" ht="47.25">
      <c r="A329" s="40" t="s">
        <v>504</v>
      </c>
      <c r="B329" s="43" t="s">
        <v>537</v>
      </c>
      <c r="C329" s="43" t="s">
        <v>69</v>
      </c>
      <c r="D329" s="43" t="s">
        <v>52</v>
      </c>
      <c r="E329" s="43"/>
      <c r="F329" s="94">
        <f>F330</f>
        <v>8686.8</v>
      </c>
      <c r="G329" s="45">
        <f>G330</f>
        <v>0</v>
      </c>
      <c r="H329" s="45">
        <f>H330</f>
        <v>0</v>
      </c>
    </row>
    <row r="330" spans="1:8" ht="15.75">
      <c r="A330" s="40" t="s">
        <v>420</v>
      </c>
      <c r="B330" s="43" t="s">
        <v>537</v>
      </c>
      <c r="C330" s="43" t="s">
        <v>69</v>
      </c>
      <c r="D330" s="43" t="s">
        <v>52</v>
      </c>
      <c r="E330" s="43" t="s">
        <v>419</v>
      </c>
      <c r="F330" s="94">
        <f>8599.9+86.9</f>
        <v>8686.8</v>
      </c>
      <c r="G330" s="45">
        <v>0</v>
      </c>
      <c r="H330" s="45">
        <v>0</v>
      </c>
    </row>
    <row r="331" spans="1:8" ht="31.5">
      <c r="A331" s="40" t="s">
        <v>459</v>
      </c>
      <c r="B331" s="43" t="s">
        <v>460</v>
      </c>
      <c r="C331" s="43"/>
      <c r="D331" s="43"/>
      <c r="E331" s="43"/>
      <c r="F331" s="94">
        <f aca="true" t="shared" si="19" ref="F331:H332">F332</f>
        <v>450</v>
      </c>
      <c r="G331" s="94">
        <f t="shared" si="19"/>
        <v>200</v>
      </c>
      <c r="H331" s="94">
        <f t="shared" si="19"/>
        <v>200</v>
      </c>
    </row>
    <row r="332" spans="1:8" ht="31.5">
      <c r="A332" s="40" t="s">
        <v>442</v>
      </c>
      <c r="B332" s="43" t="s">
        <v>461</v>
      </c>
      <c r="C332" s="43" t="s">
        <v>69</v>
      </c>
      <c r="D332" s="43" t="s">
        <v>52</v>
      </c>
      <c r="E332" s="43"/>
      <c r="F332" s="94">
        <f t="shared" si="19"/>
        <v>450</v>
      </c>
      <c r="G332" s="94">
        <f t="shared" si="19"/>
        <v>200</v>
      </c>
      <c r="H332" s="94">
        <f t="shared" si="19"/>
        <v>200</v>
      </c>
    </row>
    <row r="333" spans="1:8" ht="47.25">
      <c r="A333" s="40" t="s">
        <v>20</v>
      </c>
      <c r="B333" s="43" t="s">
        <v>461</v>
      </c>
      <c r="C333" s="43" t="s">
        <v>69</v>
      </c>
      <c r="D333" s="43" t="s">
        <v>52</v>
      </c>
      <c r="E333" s="43" t="s">
        <v>100</v>
      </c>
      <c r="F333" s="94">
        <v>450</v>
      </c>
      <c r="G333" s="94">
        <v>200</v>
      </c>
      <c r="H333" s="94">
        <v>200</v>
      </c>
    </row>
    <row r="334" spans="1:8" ht="133.5" customHeight="1">
      <c r="A334" s="40" t="s">
        <v>538</v>
      </c>
      <c r="B334" s="43" t="s">
        <v>509</v>
      </c>
      <c r="C334" s="43"/>
      <c r="D334" s="43"/>
      <c r="E334" s="74"/>
      <c r="F334" s="94">
        <f aca="true" t="shared" si="20" ref="F334:H335">F335</f>
        <v>300</v>
      </c>
      <c r="G334" s="94">
        <f t="shared" si="20"/>
        <v>300</v>
      </c>
      <c r="H334" s="94">
        <f t="shared" si="20"/>
        <v>300</v>
      </c>
    </row>
    <row r="335" spans="1:8" ht="31.5">
      <c r="A335" s="40" t="s">
        <v>442</v>
      </c>
      <c r="B335" s="43" t="s">
        <v>510</v>
      </c>
      <c r="C335" s="43" t="s">
        <v>69</v>
      </c>
      <c r="D335" s="43" t="s">
        <v>52</v>
      </c>
      <c r="E335" s="74"/>
      <c r="F335" s="94">
        <f t="shared" si="20"/>
        <v>300</v>
      </c>
      <c r="G335" s="94">
        <f t="shared" si="20"/>
        <v>300</v>
      </c>
      <c r="H335" s="94">
        <f t="shared" si="20"/>
        <v>300</v>
      </c>
    </row>
    <row r="336" spans="1:8" ht="47.25">
      <c r="A336" s="40" t="s">
        <v>20</v>
      </c>
      <c r="B336" s="43" t="s">
        <v>510</v>
      </c>
      <c r="C336" s="43" t="s">
        <v>69</v>
      </c>
      <c r="D336" s="43" t="s">
        <v>52</v>
      </c>
      <c r="E336" s="74" t="s">
        <v>100</v>
      </c>
      <c r="F336" s="94">
        <v>300</v>
      </c>
      <c r="G336" s="94">
        <v>300</v>
      </c>
      <c r="H336" s="94">
        <v>300</v>
      </c>
    </row>
    <row r="337" spans="1:8" ht="63" hidden="1">
      <c r="A337" s="40" t="s">
        <v>597</v>
      </c>
      <c r="B337" s="43" t="s">
        <v>599</v>
      </c>
      <c r="C337" s="43"/>
      <c r="D337" s="43"/>
      <c r="E337" s="43"/>
      <c r="F337" s="94">
        <f>F338</f>
        <v>0</v>
      </c>
      <c r="G337" s="94"/>
      <c r="H337" s="94"/>
    </row>
    <row r="338" spans="1:8" ht="47.25" hidden="1">
      <c r="A338" s="40" t="s">
        <v>598</v>
      </c>
      <c r="B338" s="43" t="s">
        <v>600</v>
      </c>
      <c r="C338" s="43" t="s">
        <v>69</v>
      </c>
      <c r="D338" s="43" t="s">
        <v>52</v>
      </c>
      <c r="E338" s="43"/>
      <c r="F338" s="94">
        <f>F339</f>
        <v>0</v>
      </c>
      <c r="G338" s="94"/>
      <c r="H338" s="94"/>
    </row>
    <row r="339" spans="1:8" ht="78.75" hidden="1">
      <c r="A339" s="40" t="s">
        <v>355</v>
      </c>
      <c r="B339" s="43" t="s">
        <v>600</v>
      </c>
      <c r="C339" s="43" t="s">
        <v>69</v>
      </c>
      <c r="D339" s="43" t="s">
        <v>52</v>
      </c>
      <c r="E339" s="43" t="s">
        <v>356</v>
      </c>
      <c r="F339" s="94">
        <v>0</v>
      </c>
      <c r="G339" s="94"/>
      <c r="H339" s="94"/>
    </row>
    <row r="340" spans="1:8" ht="102" customHeight="1">
      <c r="A340" s="50" t="s">
        <v>892</v>
      </c>
      <c r="B340" s="46" t="s">
        <v>377</v>
      </c>
      <c r="C340" s="46"/>
      <c r="D340" s="46"/>
      <c r="E340" s="103"/>
      <c r="F340" s="93">
        <f>F341+F344+F351+F354</f>
        <v>25543.5</v>
      </c>
      <c r="G340" s="93">
        <f>G341+G344+G351</f>
        <v>12082.1</v>
      </c>
      <c r="H340" s="93">
        <f>H341+H344+H351</f>
        <v>8839</v>
      </c>
    </row>
    <row r="341" spans="1:8" ht="94.5">
      <c r="A341" s="40" t="s">
        <v>895</v>
      </c>
      <c r="B341" s="43" t="s">
        <v>893</v>
      </c>
      <c r="C341" s="43"/>
      <c r="D341" s="43"/>
      <c r="E341" s="74"/>
      <c r="F341" s="45">
        <f aca="true" t="shared" si="21" ref="F341:H342">F342</f>
        <v>63.20000000000001</v>
      </c>
      <c r="G341" s="45">
        <f t="shared" si="21"/>
        <v>1634.1</v>
      </c>
      <c r="H341" s="45">
        <f t="shared" si="21"/>
        <v>20</v>
      </c>
    </row>
    <row r="342" spans="1:8" ht="21" customHeight="1">
      <c r="A342" s="40" t="s">
        <v>378</v>
      </c>
      <c r="B342" s="43" t="s">
        <v>896</v>
      </c>
      <c r="C342" s="43" t="s">
        <v>69</v>
      </c>
      <c r="D342" s="43" t="s">
        <v>52</v>
      </c>
      <c r="E342" s="74"/>
      <c r="F342" s="45">
        <f t="shared" si="21"/>
        <v>63.20000000000001</v>
      </c>
      <c r="G342" s="45">
        <f t="shared" si="21"/>
        <v>1634.1</v>
      </c>
      <c r="H342" s="45">
        <f t="shared" si="21"/>
        <v>20</v>
      </c>
    </row>
    <row r="343" spans="1:8" ht="47.25">
      <c r="A343" s="40" t="s">
        <v>20</v>
      </c>
      <c r="B343" s="43" t="s">
        <v>896</v>
      </c>
      <c r="C343" s="43" t="s">
        <v>69</v>
      </c>
      <c r="D343" s="43" t="s">
        <v>52</v>
      </c>
      <c r="E343" s="74" t="s">
        <v>100</v>
      </c>
      <c r="F343" s="94">
        <v>63.20000000000001</v>
      </c>
      <c r="G343" s="94">
        <f>220+714.1+700</f>
        <v>1634.1</v>
      </c>
      <c r="H343" s="94">
        <f>220-200</f>
        <v>20</v>
      </c>
    </row>
    <row r="344" spans="1:8" ht="47.25">
      <c r="A344" s="182" t="s">
        <v>1018</v>
      </c>
      <c r="B344" s="43" t="s">
        <v>897</v>
      </c>
      <c r="C344" s="43"/>
      <c r="D344" s="43"/>
      <c r="E344" s="74"/>
      <c r="F344" s="45">
        <f>F348+F345</f>
        <v>10973.599999999999</v>
      </c>
      <c r="G344" s="45">
        <f>G348</f>
        <v>8448</v>
      </c>
      <c r="H344" s="45">
        <f>H348</f>
        <v>8448</v>
      </c>
    </row>
    <row r="345" spans="1:8" ht="31.5">
      <c r="A345" s="55" t="s">
        <v>1024</v>
      </c>
      <c r="B345" s="43" t="s">
        <v>1017</v>
      </c>
      <c r="C345" s="155" t="s">
        <v>69</v>
      </c>
      <c r="D345" s="155" t="s">
        <v>54</v>
      </c>
      <c r="E345" s="43"/>
      <c r="F345" s="45">
        <f>F346+F347</f>
        <v>1806</v>
      </c>
      <c r="G345" s="45"/>
      <c r="H345" s="45"/>
    </row>
    <row r="346" spans="1:8" ht="47.25">
      <c r="A346" s="40" t="s">
        <v>20</v>
      </c>
      <c r="B346" s="43" t="s">
        <v>1017</v>
      </c>
      <c r="C346" s="155" t="s">
        <v>69</v>
      </c>
      <c r="D346" s="155" t="s">
        <v>54</v>
      </c>
      <c r="E346" s="43" t="s">
        <v>100</v>
      </c>
      <c r="F346" s="45">
        <v>706.7</v>
      </c>
      <c r="G346" s="45"/>
      <c r="H346" s="45"/>
    </row>
    <row r="347" spans="1:8" ht="15.75">
      <c r="A347" s="40" t="s">
        <v>420</v>
      </c>
      <c r="B347" s="43" t="s">
        <v>1017</v>
      </c>
      <c r="C347" s="155" t="s">
        <v>69</v>
      </c>
      <c r="D347" s="155" t="s">
        <v>54</v>
      </c>
      <c r="E347" s="74" t="s">
        <v>419</v>
      </c>
      <c r="F347" s="45">
        <v>1099.3</v>
      </c>
      <c r="G347" s="45"/>
      <c r="H347" s="45"/>
    </row>
    <row r="348" spans="1:8" ht="15.75">
      <c r="A348" s="40" t="s">
        <v>894</v>
      </c>
      <c r="B348" s="43" t="s">
        <v>898</v>
      </c>
      <c r="C348" s="43" t="s">
        <v>69</v>
      </c>
      <c r="D348" s="43" t="s">
        <v>54</v>
      </c>
      <c r="E348" s="74"/>
      <c r="F348" s="45">
        <f>F349+F350</f>
        <v>9167.599999999999</v>
      </c>
      <c r="G348" s="45">
        <f>G349+G350</f>
        <v>8448</v>
      </c>
      <c r="H348" s="45">
        <f>H349+H350</f>
        <v>8448</v>
      </c>
    </row>
    <row r="349" spans="1:8" ht="47.25">
      <c r="A349" s="40" t="s">
        <v>20</v>
      </c>
      <c r="B349" s="43" t="s">
        <v>898</v>
      </c>
      <c r="C349" s="43" t="s">
        <v>69</v>
      </c>
      <c r="D349" s="43" t="s">
        <v>54</v>
      </c>
      <c r="E349" s="74" t="s">
        <v>100</v>
      </c>
      <c r="F349" s="94">
        <f>6336+2112+479.5+239.8</f>
        <v>9167.3</v>
      </c>
      <c r="G349" s="94">
        <f>6336+2112</f>
        <v>8448</v>
      </c>
      <c r="H349" s="94">
        <f>6336+2112</f>
        <v>8448</v>
      </c>
    </row>
    <row r="350" spans="1:8" ht="20.25" customHeight="1">
      <c r="A350" s="40" t="s">
        <v>21</v>
      </c>
      <c r="B350" s="43" t="s">
        <v>898</v>
      </c>
      <c r="C350" s="43" t="s">
        <v>69</v>
      </c>
      <c r="D350" s="43" t="s">
        <v>54</v>
      </c>
      <c r="E350" s="74" t="s">
        <v>101</v>
      </c>
      <c r="F350" s="94">
        <v>0.3</v>
      </c>
      <c r="G350" s="94"/>
      <c r="H350" s="94"/>
    </row>
    <row r="351" spans="1:8" ht="31.5">
      <c r="A351" s="40" t="s">
        <v>928</v>
      </c>
      <c r="B351" s="43" t="s">
        <v>927</v>
      </c>
      <c r="C351" s="43"/>
      <c r="D351" s="43"/>
      <c r="E351" s="74"/>
      <c r="F351" s="45">
        <f aca="true" t="shared" si="22" ref="F351:H352">F352</f>
        <v>1107.6</v>
      </c>
      <c r="G351" s="45">
        <f t="shared" si="22"/>
        <v>2000</v>
      </c>
      <c r="H351" s="45">
        <f t="shared" si="22"/>
        <v>371</v>
      </c>
    </row>
    <row r="352" spans="1:8" ht="31.5">
      <c r="A352" s="40" t="s">
        <v>929</v>
      </c>
      <c r="B352" s="43" t="s">
        <v>930</v>
      </c>
      <c r="C352" s="43" t="s">
        <v>69</v>
      </c>
      <c r="D352" s="43" t="s">
        <v>52</v>
      </c>
      <c r="E352" s="74"/>
      <c r="F352" s="45">
        <f t="shared" si="22"/>
        <v>1107.6</v>
      </c>
      <c r="G352" s="45">
        <f t="shared" si="22"/>
        <v>2000</v>
      </c>
      <c r="H352" s="45">
        <f t="shared" si="22"/>
        <v>371</v>
      </c>
    </row>
    <row r="353" spans="1:8" ht="47.25">
      <c r="A353" s="40" t="s">
        <v>20</v>
      </c>
      <c r="B353" s="43" t="s">
        <v>930</v>
      </c>
      <c r="C353" s="43" t="s">
        <v>69</v>
      </c>
      <c r="D353" s="43" t="s">
        <v>52</v>
      </c>
      <c r="E353" s="74" t="s">
        <v>100</v>
      </c>
      <c r="F353" s="94">
        <v>1107.6</v>
      </c>
      <c r="G353" s="94">
        <f>1500+500</f>
        <v>2000</v>
      </c>
      <c r="H353" s="94">
        <f>1500-500-629</f>
        <v>371</v>
      </c>
    </row>
    <row r="354" spans="1:8" ht="59.25" customHeight="1">
      <c r="A354" s="40" t="s">
        <v>1020</v>
      </c>
      <c r="B354" s="43" t="s">
        <v>1022</v>
      </c>
      <c r="C354" s="43" t="s">
        <v>69</v>
      </c>
      <c r="D354" s="43" t="s">
        <v>52</v>
      </c>
      <c r="E354" s="74"/>
      <c r="F354" s="94">
        <f>F355</f>
        <v>13399.1</v>
      </c>
      <c r="G354" s="94"/>
      <c r="H354" s="94"/>
    </row>
    <row r="355" spans="1:8" ht="57.75" customHeight="1">
      <c r="A355" s="40" t="s">
        <v>1021</v>
      </c>
      <c r="B355" s="43" t="s">
        <v>1023</v>
      </c>
      <c r="C355" s="43" t="s">
        <v>69</v>
      </c>
      <c r="D355" s="43" t="s">
        <v>52</v>
      </c>
      <c r="E355" s="74"/>
      <c r="F355" s="94">
        <f>F356</f>
        <v>13399.1</v>
      </c>
      <c r="G355" s="94"/>
      <c r="H355" s="94"/>
    </row>
    <row r="356" spans="1:8" ht="22.5" customHeight="1">
      <c r="A356" s="40" t="s">
        <v>420</v>
      </c>
      <c r="B356" s="43" t="s">
        <v>1023</v>
      </c>
      <c r="C356" s="43" t="s">
        <v>69</v>
      </c>
      <c r="D356" s="43" t="s">
        <v>52</v>
      </c>
      <c r="E356" s="74" t="s">
        <v>419</v>
      </c>
      <c r="F356" s="94">
        <v>13399.1</v>
      </c>
      <c r="G356" s="94"/>
      <c r="H356" s="94"/>
    </row>
    <row r="357" spans="1:8" ht="72" customHeight="1">
      <c r="A357" s="50" t="s">
        <v>739</v>
      </c>
      <c r="B357" s="46" t="s">
        <v>196</v>
      </c>
      <c r="C357" s="46"/>
      <c r="D357" s="46"/>
      <c r="E357" s="103"/>
      <c r="F357" s="93">
        <f>F358+F361</f>
        <v>250</v>
      </c>
      <c r="G357" s="93">
        <f>G358+G361</f>
        <v>100</v>
      </c>
      <c r="H357" s="93">
        <f>H358+H361</f>
        <v>100</v>
      </c>
    </row>
    <row r="358" spans="1:8" ht="47.25">
      <c r="A358" s="40" t="s">
        <v>740</v>
      </c>
      <c r="B358" s="43" t="s">
        <v>957</v>
      </c>
      <c r="C358" s="43"/>
      <c r="D358" s="43"/>
      <c r="E358" s="74"/>
      <c r="F358" s="45">
        <f>F359</f>
        <v>200</v>
      </c>
      <c r="G358" s="45">
        <f>G359</f>
        <v>50</v>
      </c>
      <c r="H358" s="45">
        <f>H359</f>
        <v>50</v>
      </c>
    </row>
    <row r="359" spans="1:8" ht="31.5">
      <c r="A359" s="162" t="s">
        <v>346</v>
      </c>
      <c r="B359" s="163" t="s">
        <v>742</v>
      </c>
      <c r="C359" s="187" t="s">
        <v>56</v>
      </c>
      <c r="D359" s="187" t="s">
        <v>72</v>
      </c>
      <c r="E359" s="164"/>
      <c r="F359" s="147">
        <f aca="true" t="shared" si="23" ref="F359:H362">F360</f>
        <v>200</v>
      </c>
      <c r="G359" s="147">
        <f t="shared" si="23"/>
        <v>50</v>
      </c>
      <c r="H359" s="147">
        <f t="shared" si="23"/>
        <v>50</v>
      </c>
    </row>
    <row r="360" spans="1:8" ht="47.25">
      <c r="A360" s="165" t="s">
        <v>20</v>
      </c>
      <c r="B360" s="163" t="s">
        <v>742</v>
      </c>
      <c r="C360" s="57" t="s">
        <v>56</v>
      </c>
      <c r="D360" s="57" t="s">
        <v>72</v>
      </c>
      <c r="E360" s="166" t="s">
        <v>100</v>
      </c>
      <c r="F360" s="126">
        <v>200</v>
      </c>
      <c r="G360" s="126">
        <v>50</v>
      </c>
      <c r="H360" s="126">
        <v>50</v>
      </c>
    </row>
    <row r="361" spans="1:8" ht="47.25">
      <c r="A361" s="40" t="s">
        <v>392</v>
      </c>
      <c r="B361" s="43" t="s">
        <v>743</v>
      </c>
      <c r="C361" s="43"/>
      <c r="D361" s="43"/>
      <c r="E361" s="43"/>
      <c r="F361" s="45">
        <f t="shared" si="23"/>
        <v>50</v>
      </c>
      <c r="G361" s="45">
        <f t="shared" si="23"/>
        <v>50</v>
      </c>
      <c r="H361" s="45">
        <f t="shared" si="23"/>
        <v>50</v>
      </c>
    </row>
    <row r="362" spans="1:8" ht="31.5">
      <c r="A362" s="162" t="s">
        <v>346</v>
      </c>
      <c r="B362" s="163" t="s">
        <v>744</v>
      </c>
      <c r="C362" s="187" t="s">
        <v>56</v>
      </c>
      <c r="D362" s="187" t="s">
        <v>72</v>
      </c>
      <c r="E362" s="164"/>
      <c r="F362" s="147">
        <f t="shared" si="23"/>
        <v>50</v>
      </c>
      <c r="G362" s="147">
        <f t="shared" si="23"/>
        <v>50</v>
      </c>
      <c r="H362" s="147">
        <f t="shared" si="23"/>
        <v>50</v>
      </c>
    </row>
    <row r="363" spans="1:8" ht="47.25">
      <c r="A363" s="165" t="s">
        <v>20</v>
      </c>
      <c r="B363" s="163" t="s">
        <v>744</v>
      </c>
      <c r="C363" s="57" t="s">
        <v>56</v>
      </c>
      <c r="D363" s="57" t="s">
        <v>72</v>
      </c>
      <c r="E363" s="166" t="s">
        <v>100</v>
      </c>
      <c r="F363" s="126">
        <v>50</v>
      </c>
      <c r="G363" s="126">
        <v>50</v>
      </c>
      <c r="H363" s="126">
        <v>50</v>
      </c>
    </row>
    <row r="364" spans="1:8" ht="83.25" customHeight="1">
      <c r="A364" s="50" t="s">
        <v>770</v>
      </c>
      <c r="B364" s="152" t="s">
        <v>149</v>
      </c>
      <c r="C364" s="46"/>
      <c r="D364" s="46"/>
      <c r="E364" s="188"/>
      <c r="F364" s="61">
        <f>F365+F380</f>
        <v>80221.50000000001</v>
      </c>
      <c r="G364" s="61">
        <f>G365+G380</f>
        <v>8262.699999999999</v>
      </c>
      <c r="H364" s="61">
        <f>H365+H380</f>
        <v>8262.699999999999</v>
      </c>
    </row>
    <row r="365" spans="1:8" ht="47.25">
      <c r="A365" s="40" t="s">
        <v>309</v>
      </c>
      <c r="B365" s="44" t="s">
        <v>311</v>
      </c>
      <c r="C365" s="43"/>
      <c r="D365" s="43"/>
      <c r="E365" s="189"/>
      <c r="F365" s="47">
        <f>F366+F370+F377</f>
        <v>72729.90000000001</v>
      </c>
      <c r="G365" s="47">
        <f>G366+G370+G377</f>
        <v>771.1</v>
      </c>
      <c r="H365" s="47">
        <f>H366+H370+H377</f>
        <v>771.1</v>
      </c>
    </row>
    <row r="366" spans="1:8" ht="63">
      <c r="A366" s="40" t="s">
        <v>310</v>
      </c>
      <c r="B366" s="44" t="s">
        <v>312</v>
      </c>
      <c r="C366" s="43"/>
      <c r="D366" s="43"/>
      <c r="E366" s="189"/>
      <c r="F366" s="47">
        <f>F367</f>
        <v>771.1</v>
      </c>
      <c r="G366" s="47">
        <f>G367</f>
        <v>771.1</v>
      </c>
      <c r="H366" s="47">
        <f>H367</f>
        <v>771.1</v>
      </c>
    </row>
    <row r="367" spans="1:8" ht="47.25">
      <c r="A367" s="40" t="s">
        <v>472</v>
      </c>
      <c r="B367" s="44" t="s">
        <v>471</v>
      </c>
      <c r="C367" s="43" t="s">
        <v>61</v>
      </c>
      <c r="D367" s="43" t="s">
        <v>52</v>
      </c>
      <c r="E367" s="44"/>
      <c r="F367" s="146">
        <f>F369+F368</f>
        <v>771.1</v>
      </c>
      <c r="G367" s="146">
        <f>G369+G368</f>
        <v>771.1</v>
      </c>
      <c r="H367" s="146">
        <f>H369+H368</f>
        <v>771.1</v>
      </c>
    </row>
    <row r="368" spans="1:8" ht="31.5">
      <c r="A368" s="40" t="s">
        <v>96</v>
      </c>
      <c r="B368" s="44" t="s">
        <v>471</v>
      </c>
      <c r="C368" s="43" t="s">
        <v>61</v>
      </c>
      <c r="D368" s="43" t="s">
        <v>52</v>
      </c>
      <c r="E368" s="189" t="s">
        <v>97</v>
      </c>
      <c r="F368" s="47">
        <v>198.9</v>
      </c>
      <c r="G368" s="47">
        <v>148</v>
      </c>
      <c r="H368" s="47">
        <v>148</v>
      </c>
    </row>
    <row r="369" spans="1:8" ht="47.25">
      <c r="A369" s="40" t="s">
        <v>20</v>
      </c>
      <c r="B369" s="44" t="s">
        <v>471</v>
      </c>
      <c r="C369" s="43" t="s">
        <v>61</v>
      </c>
      <c r="D369" s="43" t="s">
        <v>52</v>
      </c>
      <c r="E369" s="44" t="s">
        <v>100</v>
      </c>
      <c r="F369" s="146">
        <v>572.2</v>
      </c>
      <c r="G369" s="146">
        <f>806.1-148-35</f>
        <v>623.1</v>
      </c>
      <c r="H369" s="146">
        <f>806.1-148-35</f>
        <v>623.1</v>
      </c>
    </row>
    <row r="370" spans="1:8" ht="104.25" customHeight="1">
      <c r="A370" s="40" t="s">
        <v>413</v>
      </c>
      <c r="B370" s="44" t="s">
        <v>412</v>
      </c>
      <c r="C370" s="190"/>
      <c r="D370" s="190"/>
      <c r="E370" s="44"/>
      <c r="F370" s="146">
        <f>F375+F372+F373</f>
        <v>68216.2</v>
      </c>
      <c r="G370" s="146">
        <f>G375</f>
        <v>0</v>
      </c>
      <c r="H370" s="146">
        <f>H375</f>
        <v>0</v>
      </c>
    </row>
    <row r="371" spans="1:8" ht="31.5" hidden="1">
      <c r="A371" s="40" t="s">
        <v>104</v>
      </c>
      <c r="B371" s="44" t="s">
        <v>603</v>
      </c>
      <c r="C371" s="43" t="s">
        <v>61</v>
      </c>
      <c r="D371" s="43" t="s">
        <v>52</v>
      </c>
      <c r="E371" s="44"/>
      <c r="F371" s="127">
        <f>F372</f>
        <v>0</v>
      </c>
      <c r="G371" s="127">
        <f>G372</f>
        <v>0</v>
      </c>
      <c r="H371" s="127">
        <f>H372</f>
        <v>0</v>
      </c>
    </row>
    <row r="372" spans="1:8" ht="157.5" hidden="1">
      <c r="A372" s="40" t="s">
        <v>418</v>
      </c>
      <c r="B372" s="44" t="s">
        <v>603</v>
      </c>
      <c r="C372" s="43" t="s">
        <v>61</v>
      </c>
      <c r="D372" s="43" t="s">
        <v>52</v>
      </c>
      <c r="E372" s="44" t="s">
        <v>417</v>
      </c>
      <c r="F372" s="127">
        <v>0</v>
      </c>
      <c r="G372" s="127">
        <v>0</v>
      </c>
      <c r="H372" s="127">
        <v>0</v>
      </c>
    </row>
    <row r="373" spans="1:8" ht="31.5">
      <c r="A373" s="40" t="s">
        <v>114</v>
      </c>
      <c r="B373" s="44" t="s">
        <v>1019</v>
      </c>
      <c r="C373" s="43" t="s">
        <v>61</v>
      </c>
      <c r="D373" s="43" t="s">
        <v>52</v>
      </c>
      <c r="E373" s="43"/>
      <c r="F373" s="45">
        <f>F374</f>
        <v>500</v>
      </c>
      <c r="G373" s="45"/>
      <c r="H373" s="45"/>
    </row>
    <row r="374" spans="1:8" ht="15.75">
      <c r="A374" s="40" t="s">
        <v>110</v>
      </c>
      <c r="B374" s="44" t="s">
        <v>1019</v>
      </c>
      <c r="C374" s="43" t="s">
        <v>61</v>
      </c>
      <c r="D374" s="43" t="s">
        <v>52</v>
      </c>
      <c r="E374" s="43" t="s">
        <v>111</v>
      </c>
      <c r="F374" s="45">
        <v>500</v>
      </c>
      <c r="G374" s="45"/>
      <c r="H374" s="45"/>
    </row>
    <row r="375" spans="1:8" ht="78.75">
      <c r="A375" s="40" t="s">
        <v>604</v>
      </c>
      <c r="B375" s="44" t="s">
        <v>602</v>
      </c>
      <c r="C375" s="190" t="s">
        <v>61</v>
      </c>
      <c r="D375" s="190" t="s">
        <v>52</v>
      </c>
      <c r="E375" s="44"/>
      <c r="F375" s="127">
        <f>F376</f>
        <v>67716.2</v>
      </c>
      <c r="G375" s="127">
        <f>G376</f>
        <v>0</v>
      </c>
      <c r="H375" s="127">
        <f>H376</f>
        <v>0</v>
      </c>
    </row>
    <row r="376" spans="1:8" ht="157.5">
      <c r="A376" s="40" t="s">
        <v>418</v>
      </c>
      <c r="B376" s="44" t="s">
        <v>602</v>
      </c>
      <c r="C376" s="190" t="s">
        <v>61</v>
      </c>
      <c r="D376" s="190" t="s">
        <v>52</v>
      </c>
      <c r="E376" s="44" t="s">
        <v>417</v>
      </c>
      <c r="F376" s="127">
        <f>67039+677.2</f>
        <v>67716.2</v>
      </c>
      <c r="G376" s="127">
        <v>0</v>
      </c>
      <c r="H376" s="127">
        <v>0</v>
      </c>
    </row>
    <row r="377" spans="1:8" ht="47.25">
      <c r="A377" s="40" t="s">
        <v>526</v>
      </c>
      <c r="B377" s="44" t="s">
        <v>527</v>
      </c>
      <c r="C377" s="190"/>
      <c r="D377" s="190"/>
      <c r="E377" s="44"/>
      <c r="F377" s="127">
        <f aca="true" t="shared" si="24" ref="F377:H378">F378</f>
        <v>3742.6</v>
      </c>
      <c r="G377" s="127">
        <f t="shared" si="24"/>
        <v>0</v>
      </c>
      <c r="H377" s="127">
        <f t="shared" si="24"/>
        <v>0</v>
      </c>
    </row>
    <row r="378" spans="1:8" ht="47.25">
      <c r="A378" s="40" t="s">
        <v>562</v>
      </c>
      <c r="B378" s="44" t="s">
        <v>528</v>
      </c>
      <c r="C378" s="190" t="s">
        <v>61</v>
      </c>
      <c r="D378" s="190" t="s">
        <v>52</v>
      </c>
      <c r="E378" s="44"/>
      <c r="F378" s="127">
        <f t="shared" si="24"/>
        <v>3742.6</v>
      </c>
      <c r="G378" s="127">
        <f t="shared" si="24"/>
        <v>0</v>
      </c>
      <c r="H378" s="127">
        <f t="shared" si="24"/>
        <v>0</v>
      </c>
    </row>
    <row r="379" spans="1:8" ht="47.25">
      <c r="A379" s="40" t="s">
        <v>20</v>
      </c>
      <c r="B379" s="44" t="s">
        <v>528</v>
      </c>
      <c r="C379" s="190" t="s">
        <v>61</v>
      </c>
      <c r="D379" s="190" t="s">
        <v>52</v>
      </c>
      <c r="E379" s="44" t="s">
        <v>100</v>
      </c>
      <c r="F379" s="127">
        <f>3667.7+74.9</f>
        <v>3742.6</v>
      </c>
      <c r="G379" s="127">
        <v>0</v>
      </c>
      <c r="H379" s="127">
        <v>0</v>
      </c>
    </row>
    <row r="380" spans="1:8" ht="31.5">
      <c r="A380" s="40" t="s">
        <v>313</v>
      </c>
      <c r="B380" s="44" t="s">
        <v>330</v>
      </c>
      <c r="C380" s="43"/>
      <c r="D380" s="43"/>
      <c r="E380" s="189"/>
      <c r="F380" s="47">
        <f>F381+F386</f>
        <v>7491.599999999999</v>
      </c>
      <c r="G380" s="47">
        <f>G381+G386</f>
        <v>7491.599999999999</v>
      </c>
      <c r="H380" s="47">
        <f>H381+H386</f>
        <v>7491.599999999999</v>
      </c>
    </row>
    <row r="381" spans="1:8" ht="63">
      <c r="A381" s="40" t="s">
        <v>314</v>
      </c>
      <c r="B381" s="44" t="s">
        <v>331</v>
      </c>
      <c r="C381" s="43"/>
      <c r="D381" s="43"/>
      <c r="E381" s="189"/>
      <c r="F381" s="47">
        <f>F382+F384</f>
        <v>6824.9</v>
      </c>
      <c r="G381" s="47">
        <f>G382+G384</f>
        <v>6824.9</v>
      </c>
      <c r="H381" s="47">
        <f>H382+H384</f>
        <v>6824.9</v>
      </c>
    </row>
    <row r="382" spans="1:8" ht="31.5">
      <c r="A382" s="40" t="s">
        <v>104</v>
      </c>
      <c r="B382" s="44" t="s">
        <v>332</v>
      </c>
      <c r="C382" s="43" t="s">
        <v>61</v>
      </c>
      <c r="D382" s="43" t="s">
        <v>52</v>
      </c>
      <c r="E382" s="189"/>
      <c r="F382" s="47">
        <f>F383</f>
        <v>5279.099999999999</v>
      </c>
      <c r="G382" s="47">
        <f>G383</f>
        <v>5212.9</v>
      </c>
      <c r="H382" s="47">
        <f>H383</f>
        <v>5144.299999999999</v>
      </c>
    </row>
    <row r="383" spans="1:8" ht="15.75">
      <c r="A383" s="40" t="s">
        <v>110</v>
      </c>
      <c r="B383" s="44" t="s">
        <v>332</v>
      </c>
      <c r="C383" s="43" t="s">
        <v>61</v>
      </c>
      <c r="D383" s="43" t="s">
        <v>52</v>
      </c>
      <c r="E383" s="189" t="s">
        <v>111</v>
      </c>
      <c r="F383" s="146">
        <f>6924.9-1545.8-100</f>
        <v>5279.099999999999</v>
      </c>
      <c r="G383" s="146">
        <f>6924.9-1612-100</f>
        <v>5212.9</v>
      </c>
      <c r="H383" s="146">
        <f>6924.9-1680.6-100</f>
        <v>5144.299999999999</v>
      </c>
    </row>
    <row r="384" spans="1:8" ht="47.25">
      <c r="A384" s="40" t="s">
        <v>462</v>
      </c>
      <c r="B384" s="44" t="s">
        <v>470</v>
      </c>
      <c r="C384" s="43" t="s">
        <v>61</v>
      </c>
      <c r="D384" s="43" t="s">
        <v>52</v>
      </c>
      <c r="E384" s="44"/>
      <c r="F384" s="146">
        <f>F385</f>
        <v>1545.8</v>
      </c>
      <c r="G384" s="146">
        <f>G385</f>
        <v>1612</v>
      </c>
      <c r="H384" s="146">
        <f>H385</f>
        <v>1680.6</v>
      </c>
    </row>
    <row r="385" spans="1:8" ht="15.75">
      <c r="A385" s="40" t="s">
        <v>110</v>
      </c>
      <c r="B385" s="44" t="s">
        <v>470</v>
      </c>
      <c r="C385" s="43" t="s">
        <v>61</v>
      </c>
      <c r="D385" s="43" t="s">
        <v>52</v>
      </c>
      <c r="E385" s="44" t="s">
        <v>111</v>
      </c>
      <c r="F385" s="146">
        <v>1545.8</v>
      </c>
      <c r="G385" s="146">
        <v>1612</v>
      </c>
      <c r="H385" s="146">
        <v>1680.6</v>
      </c>
    </row>
    <row r="386" spans="1:8" ht="93.75" customHeight="1">
      <c r="A386" s="40" t="s">
        <v>539</v>
      </c>
      <c r="B386" s="44" t="s">
        <v>540</v>
      </c>
      <c r="C386" s="43" t="s">
        <v>61</v>
      </c>
      <c r="D386" s="43" t="s">
        <v>52</v>
      </c>
      <c r="E386" s="44"/>
      <c r="F386" s="47">
        <f aca="true" t="shared" si="25" ref="F386:H387">F387</f>
        <v>666.7</v>
      </c>
      <c r="G386" s="47">
        <f t="shared" si="25"/>
        <v>666.7</v>
      </c>
      <c r="H386" s="47">
        <f t="shared" si="25"/>
        <v>666.7</v>
      </c>
    </row>
    <row r="387" spans="1:8" ht="83.25" customHeight="1">
      <c r="A387" s="40" t="s">
        <v>503</v>
      </c>
      <c r="B387" s="44" t="s">
        <v>541</v>
      </c>
      <c r="C387" s="43" t="s">
        <v>61</v>
      </c>
      <c r="D387" s="43" t="s">
        <v>52</v>
      </c>
      <c r="E387" s="44"/>
      <c r="F387" s="47">
        <f t="shared" si="25"/>
        <v>666.7</v>
      </c>
      <c r="G387" s="47">
        <f t="shared" si="25"/>
        <v>666.7</v>
      </c>
      <c r="H387" s="47">
        <f t="shared" si="25"/>
        <v>666.7</v>
      </c>
    </row>
    <row r="388" spans="1:8" ht="23.25" customHeight="1">
      <c r="A388" s="40" t="s">
        <v>110</v>
      </c>
      <c r="B388" s="44" t="s">
        <v>541</v>
      </c>
      <c r="C388" s="43" t="s">
        <v>61</v>
      </c>
      <c r="D388" s="43" t="s">
        <v>52</v>
      </c>
      <c r="E388" s="44" t="s">
        <v>111</v>
      </c>
      <c r="F388" s="47">
        <f>600+66.7</f>
        <v>666.7</v>
      </c>
      <c r="G388" s="47">
        <f>600+66.7</f>
        <v>666.7</v>
      </c>
      <c r="H388" s="47">
        <f>600+66.7</f>
        <v>666.7</v>
      </c>
    </row>
    <row r="389" spans="1:8" ht="78.75">
      <c r="A389" s="50" t="s">
        <v>745</v>
      </c>
      <c r="B389" s="46" t="s">
        <v>134</v>
      </c>
      <c r="C389" s="46"/>
      <c r="D389" s="46"/>
      <c r="E389" s="103"/>
      <c r="F389" s="93">
        <f>F390+F399+F405</f>
        <v>67741.1</v>
      </c>
      <c r="G389" s="93">
        <f>G390+G399+G405</f>
        <v>20335.2</v>
      </c>
      <c r="H389" s="93">
        <f>H390+H399+H405</f>
        <v>20709.7</v>
      </c>
    </row>
    <row r="390" spans="1:8" ht="63">
      <c r="A390" s="40" t="s">
        <v>750</v>
      </c>
      <c r="B390" s="43" t="s">
        <v>319</v>
      </c>
      <c r="C390" s="43"/>
      <c r="D390" s="43"/>
      <c r="E390" s="74"/>
      <c r="F390" s="45">
        <f>F391+F396</f>
        <v>63554</v>
      </c>
      <c r="G390" s="45">
        <f>G391+G396</f>
        <v>15725.8</v>
      </c>
      <c r="H390" s="45">
        <f>H391+H396</f>
        <v>16604.8</v>
      </c>
    </row>
    <row r="391" spans="1:8" ht="31.5">
      <c r="A391" s="40" t="s">
        <v>135</v>
      </c>
      <c r="B391" s="43" t="s">
        <v>320</v>
      </c>
      <c r="C391" s="43"/>
      <c r="D391" s="43"/>
      <c r="E391" s="74"/>
      <c r="F391" s="45">
        <f>F392+F394</f>
        <v>63554</v>
      </c>
      <c r="G391" s="45">
        <f>G392+G394</f>
        <v>15059.3</v>
      </c>
      <c r="H391" s="45">
        <f>H392+H394</f>
        <v>15938.3</v>
      </c>
    </row>
    <row r="392" spans="1:8" ht="94.5">
      <c r="A392" s="40" t="s">
        <v>487</v>
      </c>
      <c r="B392" s="43" t="s">
        <v>321</v>
      </c>
      <c r="C392" s="43" t="s">
        <v>56</v>
      </c>
      <c r="D392" s="43" t="s">
        <v>65</v>
      </c>
      <c r="E392" s="74"/>
      <c r="F392" s="45">
        <f>F393</f>
        <v>16699.5</v>
      </c>
      <c r="G392" s="45">
        <f>G393</f>
        <v>15059.3</v>
      </c>
      <c r="H392" s="45">
        <f>H393</f>
        <v>15938.3</v>
      </c>
    </row>
    <row r="393" spans="1:8" ht="47.25">
      <c r="A393" s="40" t="s">
        <v>20</v>
      </c>
      <c r="B393" s="43" t="s">
        <v>321</v>
      </c>
      <c r="C393" s="43" t="s">
        <v>56</v>
      </c>
      <c r="D393" s="43" t="s">
        <v>65</v>
      </c>
      <c r="E393" s="74" t="s">
        <v>100</v>
      </c>
      <c r="F393" s="94">
        <f>14168+3000-468.5-6.7+6.7</f>
        <v>16699.5</v>
      </c>
      <c r="G393" s="45">
        <f>15066-6.7</f>
        <v>15059.3</v>
      </c>
      <c r="H393" s="45">
        <f>15945-6.7</f>
        <v>15938.3</v>
      </c>
    </row>
    <row r="394" spans="1:8" ht="47.25">
      <c r="A394" s="124" t="s">
        <v>500</v>
      </c>
      <c r="B394" s="43" t="s">
        <v>403</v>
      </c>
      <c r="C394" s="43" t="s">
        <v>56</v>
      </c>
      <c r="D394" s="43" t="s">
        <v>65</v>
      </c>
      <c r="E394" s="43"/>
      <c r="F394" s="94">
        <f>F395</f>
        <v>46854.5</v>
      </c>
      <c r="G394" s="94">
        <f>G395</f>
        <v>0</v>
      </c>
      <c r="H394" s="94">
        <f>H395</f>
        <v>0</v>
      </c>
    </row>
    <row r="395" spans="1:8" ht="47.25">
      <c r="A395" s="40" t="s">
        <v>20</v>
      </c>
      <c r="B395" s="43" t="s">
        <v>403</v>
      </c>
      <c r="C395" s="43" t="s">
        <v>56</v>
      </c>
      <c r="D395" s="43" t="s">
        <v>65</v>
      </c>
      <c r="E395" s="74" t="s">
        <v>100</v>
      </c>
      <c r="F395" s="59">
        <f>46386+468.5</f>
        <v>46854.5</v>
      </c>
      <c r="G395" s="45">
        <v>0</v>
      </c>
      <c r="H395" s="45">
        <v>0</v>
      </c>
    </row>
    <row r="396" spans="1:8" ht="63">
      <c r="A396" s="124" t="s">
        <v>594</v>
      </c>
      <c r="B396" s="43" t="s">
        <v>595</v>
      </c>
      <c r="C396" s="43"/>
      <c r="D396" s="43"/>
      <c r="E396" s="43"/>
      <c r="F396" s="59">
        <f aca="true" t="shared" si="26" ref="F396:H397">F397</f>
        <v>0</v>
      </c>
      <c r="G396" s="59">
        <f t="shared" si="26"/>
        <v>666.5</v>
      </c>
      <c r="H396" s="59">
        <f t="shared" si="26"/>
        <v>666.5</v>
      </c>
    </row>
    <row r="397" spans="1:8" ht="94.5">
      <c r="A397" s="124" t="s">
        <v>553</v>
      </c>
      <c r="B397" s="43" t="s">
        <v>596</v>
      </c>
      <c r="C397" s="43" t="s">
        <v>56</v>
      </c>
      <c r="D397" s="43" t="s">
        <v>65</v>
      </c>
      <c r="E397" s="43"/>
      <c r="F397" s="59">
        <f t="shared" si="26"/>
        <v>0</v>
      </c>
      <c r="G397" s="59">
        <f t="shared" si="26"/>
        <v>666.5</v>
      </c>
      <c r="H397" s="59">
        <f t="shared" si="26"/>
        <v>666.5</v>
      </c>
    </row>
    <row r="398" spans="1:8" ht="47.25">
      <c r="A398" s="40" t="s">
        <v>20</v>
      </c>
      <c r="B398" s="43" t="s">
        <v>596</v>
      </c>
      <c r="C398" s="43" t="s">
        <v>56</v>
      </c>
      <c r="D398" s="43" t="s">
        <v>65</v>
      </c>
      <c r="E398" s="74" t="s">
        <v>100</v>
      </c>
      <c r="F398" s="59">
        <v>0</v>
      </c>
      <c r="G398" s="59">
        <f>659.8+6.7</f>
        <v>666.5</v>
      </c>
      <c r="H398" s="59">
        <f>659.8+6.7</f>
        <v>666.5</v>
      </c>
    </row>
    <row r="399" spans="1:8" ht="47.25">
      <c r="A399" s="124" t="s">
        <v>746</v>
      </c>
      <c r="B399" s="43" t="s">
        <v>315</v>
      </c>
      <c r="C399" s="43"/>
      <c r="D399" s="43"/>
      <c r="E399" s="74"/>
      <c r="F399" s="45">
        <f aca="true" t="shared" si="27" ref="F399:H401">F400</f>
        <v>4157.1</v>
      </c>
      <c r="G399" s="45">
        <f t="shared" si="27"/>
        <v>4579.400000000001</v>
      </c>
      <c r="H399" s="45">
        <f t="shared" si="27"/>
        <v>4074.9000000000005</v>
      </c>
    </row>
    <row r="400" spans="1:8" ht="63">
      <c r="A400" s="124" t="s">
        <v>317</v>
      </c>
      <c r="B400" s="43" t="s">
        <v>316</v>
      </c>
      <c r="C400" s="43"/>
      <c r="D400" s="43"/>
      <c r="E400" s="74"/>
      <c r="F400" s="45">
        <f>F401+F403</f>
        <v>4157.1</v>
      </c>
      <c r="G400" s="45">
        <f>G401+G403</f>
        <v>4579.400000000001</v>
      </c>
      <c r="H400" s="45">
        <f>H401+H403</f>
        <v>4074.9000000000005</v>
      </c>
    </row>
    <row r="401" spans="1:8" ht="63">
      <c r="A401" s="124" t="s">
        <v>293</v>
      </c>
      <c r="B401" s="43" t="s">
        <v>322</v>
      </c>
      <c r="C401" s="43" t="s">
        <v>56</v>
      </c>
      <c r="D401" s="43" t="s">
        <v>81</v>
      </c>
      <c r="E401" s="74"/>
      <c r="F401" s="45">
        <f t="shared" si="27"/>
        <v>0</v>
      </c>
      <c r="G401" s="45">
        <f t="shared" si="27"/>
        <v>846.8</v>
      </c>
      <c r="H401" s="45">
        <f t="shared" si="27"/>
        <v>342.3</v>
      </c>
    </row>
    <row r="402" spans="1:8" ht="47.25">
      <c r="A402" s="40" t="s">
        <v>20</v>
      </c>
      <c r="B402" s="43" t="s">
        <v>322</v>
      </c>
      <c r="C402" s="43" t="s">
        <v>56</v>
      </c>
      <c r="D402" s="43" t="s">
        <v>81</v>
      </c>
      <c r="E402" s="74" t="s">
        <v>100</v>
      </c>
      <c r="F402" s="94">
        <v>0</v>
      </c>
      <c r="G402" s="94">
        <v>846.8</v>
      </c>
      <c r="H402" s="94">
        <f>350-7.7</f>
        <v>342.3</v>
      </c>
    </row>
    <row r="403" spans="1:8" ht="63">
      <c r="A403" s="40" t="s">
        <v>495</v>
      </c>
      <c r="B403" s="43" t="s">
        <v>496</v>
      </c>
      <c r="C403" s="43" t="s">
        <v>56</v>
      </c>
      <c r="D403" s="43" t="s">
        <v>81</v>
      </c>
      <c r="E403" s="43"/>
      <c r="F403" s="59">
        <f>F404</f>
        <v>4157.1</v>
      </c>
      <c r="G403" s="59">
        <f>G404</f>
        <v>3732.6000000000004</v>
      </c>
      <c r="H403" s="59">
        <f>H404</f>
        <v>3732.6000000000004</v>
      </c>
    </row>
    <row r="404" spans="1:8" ht="47.25">
      <c r="A404" s="40" t="s">
        <v>20</v>
      </c>
      <c r="B404" s="43" t="s">
        <v>496</v>
      </c>
      <c r="C404" s="43" t="s">
        <v>56</v>
      </c>
      <c r="D404" s="43" t="s">
        <v>81</v>
      </c>
      <c r="E404" s="43" t="s">
        <v>100</v>
      </c>
      <c r="F404" s="59">
        <v>4157.1</v>
      </c>
      <c r="G404" s="59">
        <f>3695.3+37.3</f>
        <v>3732.6000000000004</v>
      </c>
      <c r="H404" s="59">
        <f>3695.3+37.3</f>
        <v>3732.6000000000004</v>
      </c>
    </row>
    <row r="405" spans="1:8" ht="31.5">
      <c r="A405" s="124" t="s">
        <v>323</v>
      </c>
      <c r="B405" s="43" t="s">
        <v>324</v>
      </c>
      <c r="C405" s="43" t="s">
        <v>54</v>
      </c>
      <c r="D405" s="43" t="s">
        <v>67</v>
      </c>
      <c r="E405" s="74"/>
      <c r="F405" s="45">
        <f>F406+F409+F413</f>
        <v>30</v>
      </c>
      <c r="G405" s="45">
        <f>G406+G409+G413</f>
        <v>30</v>
      </c>
      <c r="H405" s="45">
        <f>H406+H409+H413</f>
        <v>30</v>
      </c>
    </row>
    <row r="406" spans="1:8" ht="47.25">
      <c r="A406" s="124" t="s">
        <v>284</v>
      </c>
      <c r="B406" s="43" t="s">
        <v>325</v>
      </c>
      <c r="C406" s="43" t="s">
        <v>54</v>
      </c>
      <c r="D406" s="43" t="s">
        <v>67</v>
      </c>
      <c r="E406" s="74"/>
      <c r="F406" s="45">
        <f aca="true" t="shared" si="28" ref="F406:H407">F407</f>
        <v>0</v>
      </c>
      <c r="G406" s="45">
        <f t="shared" si="28"/>
        <v>0</v>
      </c>
      <c r="H406" s="45">
        <f t="shared" si="28"/>
        <v>0</v>
      </c>
    </row>
    <row r="407" spans="1:8" ht="31.5">
      <c r="A407" s="124" t="s">
        <v>114</v>
      </c>
      <c r="B407" s="43" t="s">
        <v>485</v>
      </c>
      <c r="C407" s="43" t="s">
        <v>54</v>
      </c>
      <c r="D407" s="43" t="s">
        <v>67</v>
      </c>
      <c r="E407" s="74"/>
      <c r="F407" s="45">
        <f t="shared" si="28"/>
        <v>0</v>
      </c>
      <c r="G407" s="45">
        <f t="shared" si="28"/>
        <v>0</v>
      </c>
      <c r="H407" s="45">
        <f t="shared" si="28"/>
        <v>0</v>
      </c>
    </row>
    <row r="408" spans="1:8" ht="15.75">
      <c r="A408" s="40" t="s">
        <v>110</v>
      </c>
      <c r="B408" s="43" t="s">
        <v>485</v>
      </c>
      <c r="C408" s="43" t="s">
        <v>54</v>
      </c>
      <c r="D408" s="43" t="s">
        <v>67</v>
      </c>
      <c r="E408" s="74" t="s">
        <v>111</v>
      </c>
      <c r="F408" s="45">
        <v>0</v>
      </c>
      <c r="G408" s="45">
        <v>0</v>
      </c>
      <c r="H408" s="45">
        <v>0</v>
      </c>
    </row>
    <row r="409" spans="1:8" ht="31.5">
      <c r="A409" s="124" t="s">
        <v>798</v>
      </c>
      <c r="B409" s="43" t="s">
        <v>326</v>
      </c>
      <c r="C409" s="43" t="s">
        <v>54</v>
      </c>
      <c r="D409" s="43" t="s">
        <v>67</v>
      </c>
      <c r="E409" s="74"/>
      <c r="F409" s="45">
        <f>F410</f>
        <v>24</v>
      </c>
      <c r="G409" s="45">
        <f>G410</f>
        <v>24</v>
      </c>
      <c r="H409" s="45">
        <f>H410</f>
        <v>24</v>
      </c>
    </row>
    <row r="410" spans="1:8" ht="31.5">
      <c r="A410" s="124" t="s">
        <v>318</v>
      </c>
      <c r="B410" s="43" t="s">
        <v>327</v>
      </c>
      <c r="C410" s="43" t="s">
        <v>54</v>
      </c>
      <c r="D410" s="43" t="s">
        <v>67</v>
      </c>
      <c r="E410" s="74"/>
      <c r="F410" s="45">
        <f>F412+F411</f>
        <v>24</v>
      </c>
      <c r="G410" s="45">
        <f>G412</f>
        <v>24</v>
      </c>
      <c r="H410" s="45">
        <f>H412</f>
        <v>24</v>
      </c>
    </row>
    <row r="411" spans="1:8" ht="31.5">
      <c r="A411" s="40" t="s">
        <v>96</v>
      </c>
      <c r="B411" s="43" t="s">
        <v>327</v>
      </c>
      <c r="C411" s="43" t="s">
        <v>54</v>
      </c>
      <c r="D411" s="43" t="s">
        <v>67</v>
      </c>
      <c r="E411" s="74" t="s">
        <v>97</v>
      </c>
      <c r="F411" s="45">
        <v>2</v>
      </c>
      <c r="G411" s="45"/>
      <c r="H411" s="45"/>
    </row>
    <row r="412" spans="1:8" ht="47.25">
      <c r="A412" s="40" t="s">
        <v>20</v>
      </c>
      <c r="B412" s="43" t="s">
        <v>327</v>
      </c>
      <c r="C412" s="43" t="s">
        <v>54</v>
      </c>
      <c r="D412" s="43" t="s">
        <v>67</v>
      </c>
      <c r="E412" s="74" t="s">
        <v>100</v>
      </c>
      <c r="F412" s="45">
        <v>22</v>
      </c>
      <c r="G412" s="45">
        <v>24</v>
      </c>
      <c r="H412" s="45">
        <v>24</v>
      </c>
    </row>
    <row r="413" spans="1:8" ht="31.5">
      <c r="A413" s="124" t="s">
        <v>329</v>
      </c>
      <c r="B413" s="43" t="s">
        <v>328</v>
      </c>
      <c r="C413" s="43" t="s">
        <v>54</v>
      </c>
      <c r="D413" s="43" t="s">
        <v>67</v>
      </c>
      <c r="E413" s="74"/>
      <c r="F413" s="45">
        <f aca="true" t="shared" si="29" ref="F413:H414">F414</f>
        <v>6</v>
      </c>
      <c r="G413" s="45">
        <f t="shared" si="29"/>
        <v>6</v>
      </c>
      <c r="H413" s="45">
        <f t="shared" si="29"/>
        <v>6</v>
      </c>
    </row>
    <row r="414" spans="1:8" ht="31.5">
      <c r="A414" s="124" t="s">
        <v>114</v>
      </c>
      <c r="B414" s="43" t="s">
        <v>384</v>
      </c>
      <c r="C414" s="43" t="s">
        <v>54</v>
      </c>
      <c r="D414" s="43" t="s">
        <v>67</v>
      </c>
      <c r="E414" s="74"/>
      <c r="F414" s="45">
        <f t="shared" si="29"/>
        <v>6</v>
      </c>
      <c r="G414" s="45">
        <f t="shared" si="29"/>
        <v>6</v>
      </c>
      <c r="H414" s="45">
        <f t="shared" si="29"/>
        <v>6</v>
      </c>
    </row>
    <row r="415" spans="1:8" ht="15.75">
      <c r="A415" s="125" t="s">
        <v>110</v>
      </c>
      <c r="B415" s="43" t="s">
        <v>384</v>
      </c>
      <c r="C415" s="43" t="s">
        <v>54</v>
      </c>
      <c r="D415" s="43" t="s">
        <v>67</v>
      </c>
      <c r="E415" s="74" t="s">
        <v>111</v>
      </c>
      <c r="F415" s="45">
        <v>6</v>
      </c>
      <c r="G415" s="45">
        <v>6</v>
      </c>
      <c r="H415" s="45">
        <v>6</v>
      </c>
    </row>
    <row r="416" spans="1:22" s="130" customFormat="1" ht="47.25" hidden="1">
      <c r="A416" s="40" t="s">
        <v>747</v>
      </c>
      <c r="B416" s="43" t="s">
        <v>748</v>
      </c>
      <c r="C416" s="43" t="s">
        <v>54</v>
      </c>
      <c r="D416" s="43" t="s">
        <v>67</v>
      </c>
      <c r="E416" s="43"/>
      <c r="F416" s="45">
        <f aca="true" t="shared" si="30" ref="F416:H417">F417</f>
        <v>0</v>
      </c>
      <c r="G416" s="45">
        <f t="shared" si="30"/>
        <v>0</v>
      </c>
      <c r="H416" s="45">
        <f t="shared" si="30"/>
        <v>0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s="130" customFormat="1" ht="31.5" hidden="1">
      <c r="A417" s="124" t="s">
        <v>318</v>
      </c>
      <c r="B417" s="43" t="s">
        <v>749</v>
      </c>
      <c r="C417" s="43" t="s">
        <v>54</v>
      </c>
      <c r="D417" s="43" t="s">
        <v>67</v>
      </c>
      <c r="E417" s="43"/>
      <c r="F417" s="45">
        <f t="shared" si="30"/>
        <v>0</v>
      </c>
      <c r="G417" s="45">
        <f t="shared" si="30"/>
        <v>0</v>
      </c>
      <c r="H417" s="45">
        <f t="shared" si="30"/>
        <v>0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s="130" customFormat="1" ht="47.25" hidden="1">
      <c r="A418" s="40" t="s">
        <v>20</v>
      </c>
      <c r="B418" s="43" t="s">
        <v>749</v>
      </c>
      <c r="C418" s="43" t="s">
        <v>54</v>
      </c>
      <c r="D418" s="43" t="s">
        <v>67</v>
      </c>
      <c r="E418" s="43" t="s">
        <v>100</v>
      </c>
      <c r="F418" s="45">
        <v>0</v>
      </c>
      <c r="G418" s="45">
        <v>0</v>
      </c>
      <c r="H418" s="45">
        <v>0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8" ht="78.75">
      <c r="A419" s="191" t="s">
        <v>751</v>
      </c>
      <c r="B419" s="32" t="s">
        <v>375</v>
      </c>
      <c r="C419" s="32"/>
      <c r="D419" s="32"/>
      <c r="E419" s="65"/>
      <c r="F419" s="93">
        <f>F420+F436</f>
        <v>167.8</v>
      </c>
      <c r="G419" s="93">
        <f>G420+G436</f>
        <v>166.1</v>
      </c>
      <c r="H419" s="93">
        <f>H420+H436</f>
        <v>166.1</v>
      </c>
    </row>
    <row r="420" spans="1:8" ht="47.25">
      <c r="A420" s="125" t="s">
        <v>755</v>
      </c>
      <c r="B420" s="42" t="s">
        <v>261</v>
      </c>
      <c r="C420" s="42"/>
      <c r="D420" s="42"/>
      <c r="E420" s="64"/>
      <c r="F420" s="45">
        <f>F421+F424+F427+F430+F433</f>
        <v>157.8</v>
      </c>
      <c r="G420" s="45">
        <f>G421+G424+G427+G430+G433</f>
        <v>156.1</v>
      </c>
      <c r="H420" s="45">
        <f>H421+H424+H427+H430+H433</f>
        <v>156.1</v>
      </c>
    </row>
    <row r="421" spans="1:8" ht="94.5">
      <c r="A421" s="125" t="s">
        <v>756</v>
      </c>
      <c r="B421" s="42" t="s">
        <v>262</v>
      </c>
      <c r="C421" s="42"/>
      <c r="D421" s="42"/>
      <c r="E421" s="64"/>
      <c r="F421" s="45">
        <f aca="true" t="shared" si="31" ref="F421:H422">F422</f>
        <v>17</v>
      </c>
      <c r="G421" s="45">
        <f t="shared" si="31"/>
        <v>17</v>
      </c>
      <c r="H421" s="45">
        <f t="shared" si="31"/>
        <v>17</v>
      </c>
    </row>
    <row r="422" spans="1:8" ht="31.5">
      <c r="A422" s="125" t="s">
        <v>259</v>
      </c>
      <c r="B422" s="42" t="s">
        <v>263</v>
      </c>
      <c r="C422" s="42" t="s">
        <v>54</v>
      </c>
      <c r="D422" s="42" t="s">
        <v>67</v>
      </c>
      <c r="E422" s="64"/>
      <c r="F422" s="45">
        <f t="shared" si="31"/>
        <v>17</v>
      </c>
      <c r="G422" s="45">
        <f t="shared" si="31"/>
        <v>17</v>
      </c>
      <c r="H422" s="45">
        <f t="shared" si="31"/>
        <v>17</v>
      </c>
    </row>
    <row r="423" spans="1:8" ht="47.25">
      <c r="A423" s="125" t="s">
        <v>20</v>
      </c>
      <c r="B423" s="42" t="s">
        <v>263</v>
      </c>
      <c r="C423" s="42" t="s">
        <v>54</v>
      </c>
      <c r="D423" s="42" t="s">
        <v>67</v>
      </c>
      <c r="E423" s="64" t="s">
        <v>100</v>
      </c>
      <c r="F423" s="45">
        <v>17</v>
      </c>
      <c r="G423" s="45">
        <v>17</v>
      </c>
      <c r="H423" s="45">
        <v>17</v>
      </c>
    </row>
    <row r="424" spans="1:8" ht="63">
      <c r="A424" s="125" t="s">
        <v>757</v>
      </c>
      <c r="B424" s="42" t="s">
        <v>390</v>
      </c>
      <c r="C424" s="42"/>
      <c r="D424" s="42"/>
      <c r="E424" s="64"/>
      <c r="F424" s="45">
        <f aca="true" t="shared" si="32" ref="F424:H425">F425</f>
        <v>10</v>
      </c>
      <c r="G424" s="45">
        <f t="shared" si="32"/>
        <v>10</v>
      </c>
      <c r="H424" s="45">
        <f t="shared" si="32"/>
        <v>10</v>
      </c>
    </row>
    <row r="425" spans="1:8" ht="31.5">
      <c r="A425" s="125" t="s">
        <v>259</v>
      </c>
      <c r="B425" s="42" t="s">
        <v>391</v>
      </c>
      <c r="C425" s="42" t="s">
        <v>54</v>
      </c>
      <c r="D425" s="42" t="s">
        <v>67</v>
      </c>
      <c r="E425" s="64"/>
      <c r="F425" s="45">
        <f t="shared" si="32"/>
        <v>10</v>
      </c>
      <c r="G425" s="45">
        <f t="shared" si="32"/>
        <v>10</v>
      </c>
      <c r="H425" s="45">
        <f t="shared" si="32"/>
        <v>10</v>
      </c>
    </row>
    <row r="426" spans="1:8" ht="47.25">
      <c r="A426" s="125" t="s">
        <v>20</v>
      </c>
      <c r="B426" s="42" t="s">
        <v>391</v>
      </c>
      <c r="C426" s="42" t="s">
        <v>54</v>
      </c>
      <c r="D426" s="42" t="s">
        <v>67</v>
      </c>
      <c r="E426" s="64" t="s">
        <v>100</v>
      </c>
      <c r="F426" s="45">
        <v>10</v>
      </c>
      <c r="G426" s="45">
        <v>10</v>
      </c>
      <c r="H426" s="45">
        <v>10</v>
      </c>
    </row>
    <row r="427" spans="1:8" ht="78.75">
      <c r="A427" s="125" t="s">
        <v>758</v>
      </c>
      <c r="B427" s="42" t="s">
        <v>264</v>
      </c>
      <c r="C427" s="42"/>
      <c r="D427" s="42"/>
      <c r="E427" s="64"/>
      <c r="F427" s="45">
        <f aca="true" t="shared" si="33" ref="F427:H428">F428</f>
        <v>3</v>
      </c>
      <c r="G427" s="45">
        <f t="shared" si="33"/>
        <v>3</v>
      </c>
      <c r="H427" s="45">
        <f t="shared" si="33"/>
        <v>3</v>
      </c>
    </row>
    <row r="428" spans="1:8" ht="31.5">
      <c r="A428" s="125" t="s">
        <v>259</v>
      </c>
      <c r="B428" s="42" t="s">
        <v>265</v>
      </c>
      <c r="C428" s="42" t="s">
        <v>54</v>
      </c>
      <c r="D428" s="42" t="s">
        <v>67</v>
      </c>
      <c r="E428" s="64"/>
      <c r="F428" s="45">
        <f t="shared" si="33"/>
        <v>3</v>
      </c>
      <c r="G428" s="45">
        <f t="shared" si="33"/>
        <v>3</v>
      </c>
      <c r="H428" s="45">
        <f t="shared" si="33"/>
        <v>3</v>
      </c>
    </row>
    <row r="429" spans="1:8" ht="47.25">
      <c r="A429" s="125" t="s">
        <v>20</v>
      </c>
      <c r="B429" s="42" t="s">
        <v>265</v>
      </c>
      <c r="C429" s="42" t="s">
        <v>54</v>
      </c>
      <c r="D429" s="42" t="s">
        <v>67</v>
      </c>
      <c r="E429" s="64" t="s">
        <v>100</v>
      </c>
      <c r="F429" s="45">
        <v>3</v>
      </c>
      <c r="G429" s="45">
        <v>3</v>
      </c>
      <c r="H429" s="45">
        <v>3</v>
      </c>
    </row>
    <row r="430" spans="1:8" ht="78.75">
      <c r="A430" s="125" t="s">
        <v>759</v>
      </c>
      <c r="B430" s="42" t="s">
        <v>266</v>
      </c>
      <c r="C430" s="42"/>
      <c r="D430" s="42"/>
      <c r="E430" s="64"/>
      <c r="F430" s="45">
        <f>F431</f>
        <v>10</v>
      </c>
      <c r="G430" s="45">
        <f>G431</f>
        <v>10</v>
      </c>
      <c r="H430" s="45">
        <f>H431</f>
        <v>10</v>
      </c>
    </row>
    <row r="431" spans="1:8" ht="15.75">
      <c r="A431" s="125" t="s">
        <v>250</v>
      </c>
      <c r="B431" s="42" t="s">
        <v>760</v>
      </c>
      <c r="C431" s="42" t="s">
        <v>54</v>
      </c>
      <c r="D431" s="42" t="s">
        <v>67</v>
      </c>
      <c r="E431" s="64"/>
      <c r="F431" s="45">
        <f aca="true" t="shared" si="34" ref="F431:H434">F432</f>
        <v>10</v>
      </c>
      <c r="G431" s="45">
        <f t="shared" si="34"/>
        <v>10</v>
      </c>
      <c r="H431" s="45">
        <f t="shared" si="34"/>
        <v>10</v>
      </c>
    </row>
    <row r="432" spans="1:8" ht="15.75">
      <c r="A432" s="125" t="s">
        <v>110</v>
      </c>
      <c r="B432" s="42" t="s">
        <v>760</v>
      </c>
      <c r="C432" s="42" t="s">
        <v>54</v>
      </c>
      <c r="D432" s="42" t="s">
        <v>67</v>
      </c>
      <c r="E432" s="64" t="s">
        <v>111</v>
      </c>
      <c r="F432" s="45">
        <v>10</v>
      </c>
      <c r="G432" s="45">
        <v>10</v>
      </c>
      <c r="H432" s="45">
        <v>10</v>
      </c>
    </row>
    <row r="433" spans="1:8" ht="63">
      <c r="A433" s="125" t="s">
        <v>762</v>
      </c>
      <c r="B433" s="42" t="s">
        <v>761</v>
      </c>
      <c r="C433" s="42"/>
      <c r="D433" s="42"/>
      <c r="E433" s="64"/>
      <c r="F433" s="45">
        <f t="shared" si="34"/>
        <v>117.8</v>
      </c>
      <c r="G433" s="45">
        <f t="shared" si="34"/>
        <v>116.1</v>
      </c>
      <c r="H433" s="45">
        <f t="shared" si="34"/>
        <v>116.1</v>
      </c>
    </row>
    <row r="434" spans="1:8" ht="47.25">
      <c r="A434" s="125" t="s">
        <v>764</v>
      </c>
      <c r="B434" s="42" t="s">
        <v>763</v>
      </c>
      <c r="C434" s="42" t="s">
        <v>54</v>
      </c>
      <c r="D434" s="42" t="s">
        <v>67</v>
      </c>
      <c r="E434" s="64"/>
      <c r="F434" s="45">
        <f t="shared" si="34"/>
        <v>117.8</v>
      </c>
      <c r="G434" s="45">
        <f t="shared" si="34"/>
        <v>116.1</v>
      </c>
      <c r="H434" s="45">
        <f t="shared" si="34"/>
        <v>116.1</v>
      </c>
    </row>
    <row r="435" spans="1:8" ht="47.25">
      <c r="A435" s="125" t="s">
        <v>20</v>
      </c>
      <c r="B435" s="42" t="s">
        <v>763</v>
      </c>
      <c r="C435" s="42" t="s">
        <v>54</v>
      </c>
      <c r="D435" s="42" t="s">
        <v>67</v>
      </c>
      <c r="E435" s="64" t="s">
        <v>100</v>
      </c>
      <c r="F435" s="45">
        <v>117.8</v>
      </c>
      <c r="G435" s="45">
        <f>110.3+5.8</f>
        <v>116.1</v>
      </c>
      <c r="H435" s="45">
        <f>110.3+5.8</f>
        <v>116.1</v>
      </c>
    </row>
    <row r="436" spans="1:8" ht="78.75">
      <c r="A436" s="125" t="s">
        <v>117</v>
      </c>
      <c r="B436" s="42" t="s">
        <v>267</v>
      </c>
      <c r="C436" s="42"/>
      <c r="D436" s="42"/>
      <c r="E436" s="64" t="s">
        <v>357</v>
      </c>
      <c r="F436" s="45">
        <f aca="true" t="shared" si="35" ref="F436:H438">F437</f>
        <v>10</v>
      </c>
      <c r="G436" s="45">
        <f t="shared" si="35"/>
        <v>10</v>
      </c>
      <c r="H436" s="45">
        <f t="shared" si="35"/>
        <v>10</v>
      </c>
    </row>
    <row r="437" spans="1:8" ht="47.25">
      <c r="A437" s="125" t="s">
        <v>752</v>
      </c>
      <c r="B437" s="42" t="s">
        <v>753</v>
      </c>
      <c r="C437" s="42"/>
      <c r="D437" s="42"/>
      <c r="E437" s="64"/>
      <c r="F437" s="45">
        <f t="shared" si="35"/>
        <v>10</v>
      </c>
      <c r="G437" s="45">
        <f t="shared" si="35"/>
        <v>10</v>
      </c>
      <c r="H437" s="45">
        <f t="shared" si="35"/>
        <v>10</v>
      </c>
    </row>
    <row r="438" spans="1:8" ht="81" customHeight="1">
      <c r="A438" s="165" t="s">
        <v>260</v>
      </c>
      <c r="B438" s="57" t="s">
        <v>754</v>
      </c>
      <c r="C438" s="57" t="s">
        <v>54</v>
      </c>
      <c r="D438" s="57" t="s">
        <v>67</v>
      </c>
      <c r="E438" s="166"/>
      <c r="F438" s="126">
        <f t="shared" si="35"/>
        <v>10</v>
      </c>
      <c r="G438" s="45">
        <f t="shared" si="35"/>
        <v>10</v>
      </c>
      <c r="H438" s="45">
        <f t="shared" si="35"/>
        <v>10</v>
      </c>
    </row>
    <row r="439" spans="1:8" ht="47.25">
      <c r="A439" s="40" t="s">
        <v>20</v>
      </c>
      <c r="B439" s="43" t="s">
        <v>754</v>
      </c>
      <c r="C439" s="43" t="s">
        <v>54</v>
      </c>
      <c r="D439" s="43" t="s">
        <v>67</v>
      </c>
      <c r="E439" s="43" t="s">
        <v>100</v>
      </c>
      <c r="F439" s="45">
        <v>10</v>
      </c>
      <c r="G439" s="45">
        <v>10</v>
      </c>
      <c r="H439" s="45">
        <v>10</v>
      </c>
    </row>
    <row r="440" spans="1:8" ht="78.75">
      <c r="A440" s="192" t="s">
        <v>767</v>
      </c>
      <c r="B440" s="46" t="s">
        <v>133</v>
      </c>
      <c r="C440" s="46"/>
      <c r="D440" s="46"/>
      <c r="E440" s="103"/>
      <c r="F440" s="93">
        <f>F441+F444</f>
        <v>577.6</v>
      </c>
      <c r="G440" s="93">
        <f>G441+G444</f>
        <v>577.6</v>
      </c>
      <c r="H440" s="93">
        <f>H441+H444</f>
        <v>577.6</v>
      </c>
    </row>
    <row r="441" spans="1:8" ht="78.75">
      <c r="A441" s="124" t="s">
        <v>768</v>
      </c>
      <c r="B441" s="43" t="s">
        <v>269</v>
      </c>
      <c r="C441" s="43"/>
      <c r="D441" s="43"/>
      <c r="E441" s="74"/>
      <c r="F441" s="45">
        <f aca="true" t="shared" si="36" ref="F441:H442">F442</f>
        <v>45</v>
      </c>
      <c r="G441" s="45">
        <f t="shared" si="36"/>
        <v>45</v>
      </c>
      <c r="H441" s="45">
        <f t="shared" si="36"/>
        <v>45</v>
      </c>
    </row>
    <row r="442" spans="1:8" ht="47.25">
      <c r="A442" s="124" t="s">
        <v>105</v>
      </c>
      <c r="B442" s="43" t="s">
        <v>270</v>
      </c>
      <c r="C442" s="43" t="s">
        <v>56</v>
      </c>
      <c r="D442" s="43" t="s">
        <v>72</v>
      </c>
      <c r="E442" s="74"/>
      <c r="F442" s="45">
        <f t="shared" si="36"/>
        <v>45</v>
      </c>
      <c r="G442" s="45">
        <f t="shared" si="36"/>
        <v>45</v>
      </c>
      <c r="H442" s="45">
        <f t="shared" si="36"/>
        <v>45</v>
      </c>
    </row>
    <row r="443" spans="1:8" ht="47.25">
      <c r="A443" s="40" t="s">
        <v>20</v>
      </c>
      <c r="B443" s="43" t="s">
        <v>270</v>
      </c>
      <c r="C443" s="43" t="s">
        <v>56</v>
      </c>
      <c r="D443" s="43" t="s">
        <v>72</v>
      </c>
      <c r="E443" s="74" t="s">
        <v>100</v>
      </c>
      <c r="F443" s="45">
        <v>45</v>
      </c>
      <c r="G443" s="45">
        <v>45</v>
      </c>
      <c r="H443" s="45">
        <v>45</v>
      </c>
    </row>
    <row r="444" spans="1:8" ht="63">
      <c r="A444" s="40" t="s">
        <v>271</v>
      </c>
      <c r="B444" s="43" t="s">
        <v>272</v>
      </c>
      <c r="C444" s="43"/>
      <c r="D444" s="43"/>
      <c r="E444" s="74"/>
      <c r="F444" s="45">
        <f aca="true" t="shared" si="37" ref="F444:H445">F445</f>
        <v>532.6</v>
      </c>
      <c r="G444" s="45">
        <f t="shared" si="37"/>
        <v>532.6</v>
      </c>
      <c r="H444" s="45">
        <f t="shared" si="37"/>
        <v>532.6</v>
      </c>
    </row>
    <row r="445" spans="1:8" ht="55.5" customHeight="1">
      <c r="A445" s="40" t="s">
        <v>769</v>
      </c>
      <c r="B445" s="43" t="s">
        <v>273</v>
      </c>
      <c r="C445" s="43" t="s">
        <v>56</v>
      </c>
      <c r="D445" s="43" t="s">
        <v>72</v>
      </c>
      <c r="E445" s="74"/>
      <c r="F445" s="45">
        <f t="shared" si="37"/>
        <v>532.6</v>
      </c>
      <c r="G445" s="45">
        <f t="shared" si="37"/>
        <v>532.6</v>
      </c>
      <c r="H445" s="45">
        <f t="shared" si="37"/>
        <v>532.6</v>
      </c>
    </row>
    <row r="446" spans="1:8" ht="78.75">
      <c r="A446" s="40" t="s">
        <v>355</v>
      </c>
      <c r="B446" s="43" t="s">
        <v>273</v>
      </c>
      <c r="C446" s="43" t="s">
        <v>56</v>
      </c>
      <c r="D446" s="43" t="s">
        <v>72</v>
      </c>
      <c r="E446" s="74" t="s">
        <v>356</v>
      </c>
      <c r="F446" s="94">
        <f>506+26.6</f>
        <v>532.6</v>
      </c>
      <c r="G446" s="94">
        <f>506+26.6</f>
        <v>532.6</v>
      </c>
      <c r="H446" s="94">
        <f>506+26.6</f>
        <v>532.6</v>
      </c>
    </row>
    <row r="447" spans="1:8" ht="63">
      <c r="A447" s="50" t="s">
        <v>836</v>
      </c>
      <c r="B447" s="46" t="s">
        <v>139</v>
      </c>
      <c r="C447" s="46"/>
      <c r="D447" s="46"/>
      <c r="E447" s="103"/>
      <c r="F447" s="93">
        <f>F451+F454+F463+F457+F466+F472+F448+F460+F469</f>
        <v>42140.1</v>
      </c>
      <c r="G447" s="93">
        <f>G451+G454+G463+G457+G466+G472+G448+G460</f>
        <v>18838.800000000003</v>
      </c>
      <c r="H447" s="93">
        <f>H451+H454+H463+H457+H466+H472+H448+H460</f>
        <v>1998.2</v>
      </c>
    </row>
    <row r="448" spans="1:8" ht="57" customHeight="1">
      <c r="A448" s="40" t="s">
        <v>545</v>
      </c>
      <c r="B448" s="43" t="s">
        <v>544</v>
      </c>
      <c r="C448" s="46"/>
      <c r="D448" s="46"/>
      <c r="E448" s="103"/>
      <c r="F448" s="94">
        <f aca="true" t="shared" si="38" ref="F448:H449">F449</f>
        <v>1200</v>
      </c>
      <c r="G448" s="94">
        <f t="shared" si="38"/>
        <v>1200</v>
      </c>
      <c r="H448" s="94">
        <f t="shared" si="38"/>
        <v>1200</v>
      </c>
    </row>
    <row r="449" spans="1:8" ht="38.25" customHeight="1">
      <c r="A449" s="40" t="s">
        <v>106</v>
      </c>
      <c r="B449" s="43" t="s">
        <v>546</v>
      </c>
      <c r="C449" s="43" t="s">
        <v>58</v>
      </c>
      <c r="D449" s="43" t="s">
        <v>69</v>
      </c>
      <c r="E449" s="103"/>
      <c r="F449" s="94">
        <f t="shared" si="38"/>
        <v>1200</v>
      </c>
      <c r="G449" s="94">
        <f t="shared" si="38"/>
        <v>1200</v>
      </c>
      <c r="H449" s="94">
        <f t="shared" si="38"/>
        <v>1200</v>
      </c>
    </row>
    <row r="450" spans="1:8" ht="54" customHeight="1">
      <c r="A450" s="40" t="s">
        <v>20</v>
      </c>
      <c r="B450" s="43" t="s">
        <v>546</v>
      </c>
      <c r="C450" s="43" t="s">
        <v>58</v>
      </c>
      <c r="D450" s="43" t="s">
        <v>69</v>
      </c>
      <c r="E450" s="74" t="s">
        <v>100</v>
      </c>
      <c r="F450" s="94">
        <v>1200</v>
      </c>
      <c r="G450" s="94">
        <v>1200</v>
      </c>
      <c r="H450" s="94">
        <v>1200</v>
      </c>
    </row>
    <row r="451" spans="1:8" ht="47.25">
      <c r="A451" s="40" t="s">
        <v>847</v>
      </c>
      <c r="B451" s="43" t="s">
        <v>18</v>
      </c>
      <c r="C451" s="43"/>
      <c r="D451" s="43"/>
      <c r="E451" s="74"/>
      <c r="F451" s="45">
        <f aca="true" t="shared" si="39" ref="F451:H452">F452</f>
        <v>15</v>
      </c>
      <c r="G451" s="45">
        <f t="shared" si="39"/>
        <v>15</v>
      </c>
      <c r="H451" s="45">
        <f t="shared" si="39"/>
        <v>15</v>
      </c>
    </row>
    <row r="452" spans="1:8" ht="31.5">
      <c r="A452" s="40" t="s">
        <v>106</v>
      </c>
      <c r="B452" s="43" t="s">
        <v>19</v>
      </c>
      <c r="C452" s="43" t="s">
        <v>58</v>
      </c>
      <c r="D452" s="43" t="s">
        <v>69</v>
      </c>
      <c r="E452" s="74"/>
      <c r="F452" s="45">
        <f t="shared" si="39"/>
        <v>15</v>
      </c>
      <c r="G452" s="45">
        <f t="shared" si="39"/>
        <v>15</v>
      </c>
      <c r="H452" s="45">
        <f t="shared" si="39"/>
        <v>15</v>
      </c>
    </row>
    <row r="453" spans="1:8" ht="47.25">
      <c r="A453" s="40" t="s">
        <v>20</v>
      </c>
      <c r="B453" s="43" t="s">
        <v>19</v>
      </c>
      <c r="C453" s="43" t="s">
        <v>58</v>
      </c>
      <c r="D453" s="43" t="s">
        <v>69</v>
      </c>
      <c r="E453" s="74" t="s">
        <v>100</v>
      </c>
      <c r="F453" s="45">
        <v>15</v>
      </c>
      <c r="G453" s="45">
        <v>15</v>
      </c>
      <c r="H453" s="45">
        <v>15</v>
      </c>
    </row>
    <row r="454" spans="1:8" ht="31.5">
      <c r="A454" s="40" t="s">
        <v>140</v>
      </c>
      <c r="B454" s="43" t="s">
        <v>141</v>
      </c>
      <c r="C454" s="43"/>
      <c r="D454" s="43"/>
      <c r="E454" s="74"/>
      <c r="F454" s="45">
        <f aca="true" t="shared" si="40" ref="F454:H455">F455</f>
        <v>30</v>
      </c>
      <c r="G454" s="45">
        <f t="shared" si="40"/>
        <v>30</v>
      </c>
      <c r="H454" s="45">
        <f t="shared" si="40"/>
        <v>30</v>
      </c>
    </row>
    <row r="455" spans="1:8" ht="31.5">
      <c r="A455" s="40" t="s">
        <v>106</v>
      </c>
      <c r="B455" s="43" t="s">
        <v>142</v>
      </c>
      <c r="C455" s="43" t="s">
        <v>58</v>
      </c>
      <c r="D455" s="43" t="s">
        <v>69</v>
      </c>
      <c r="E455" s="74"/>
      <c r="F455" s="45">
        <f t="shared" si="40"/>
        <v>30</v>
      </c>
      <c r="G455" s="45">
        <f t="shared" si="40"/>
        <v>30</v>
      </c>
      <c r="H455" s="45">
        <f t="shared" si="40"/>
        <v>30</v>
      </c>
    </row>
    <row r="456" spans="1:8" ht="47.25">
      <c r="A456" s="40" t="s">
        <v>20</v>
      </c>
      <c r="B456" s="43" t="s">
        <v>142</v>
      </c>
      <c r="C456" s="43" t="s">
        <v>58</v>
      </c>
      <c r="D456" s="43" t="s">
        <v>69</v>
      </c>
      <c r="E456" s="74" t="s">
        <v>100</v>
      </c>
      <c r="F456" s="45">
        <v>30</v>
      </c>
      <c r="G456" s="45">
        <v>30</v>
      </c>
      <c r="H456" s="45">
        <v>30</v>
      </c>
    </row>
    <row r="457" spans="1:8" ht="63">
      <c r="A457" s="40" t="s">
        <v>848</v>
      </c>
      <c r="B457" s="43" t="s">
        <v>137</v>
      </c>
      <c r="C457" s="43"/>
      <c r="D457" s="43"/>
      <c r="E457" s="74"/>
      <c r="F457" s="45">
        <f aca="true" t="shared" si="41" ref="F457:H458">F458</f>
        <v>15</v>
      </c>
      <c r="G457" s="45">
        <f t="shared" si="41"/>
        <v>15</v>
      </c>
      <c r="H457" s="45">
        <f t="shared" si="41"/>
        <v>15</v>
      </c>
    </row>
    <row r="458" spans="1:8" ht="31.5">
      <c r="A458" s="40" t="s">
        <v>106</v>
      </c>
      <c r="B458" s="43" t="s">
        <v>279</v>
      </c>
      <c r="C458" s="43" t="s">
        <v>58</v>
      </c>
      <c r="D458" s="43" t="s">
        <v>69</v>
      </c>
      <c r="E458" s="74"/>
      <c r="F458" s="45">
        <f t="shared" si="41"/>
        <v>15</v>
      </c>
      <c r="G458" s="45">
        <f t="shared" si="41"/>
        <v>15</v>
      </c>
      <c r="H458" s="45">
        <f t="shared" si="41"/>
        <v>15</v>
      </c>
    </row>
    <row r="459" spans="1:8" ht="47.25">
      <c r="A459" s="40" t="s">
        <v>20</v>
      </c>
      <c r="B459" s="43" t="s">
        <v>279</v>
      </c>
      <c r="C459" s="43" t="s">
        <v>58</v>
      </c>
      <c r="D459" s="43" t="s">
        <v>69</v>
      </c>
      <c r="E459" s="74" t="s">
        <v>100</v>
      </c>
      <c r="F459" s="45">
        <v>15</v>
      </c>
      <c r="G459" s="45">
        <v>15</v>
      </c>
      <c r="H459" s="45">
        <v>15</v>
      </c>
    </row>
    <row r="460" spans="1:8" ht="47.25">
      <c r="A460" s="40" t="s">
        <v>849</v>
      </c>
      <c r="B460" s="43" t="s">
        <v>850</v>
      </c>
      <c r="C460" s="43"/>
      <c r="D460" s="43"/>
      <c r="E460" s="74"/>
      <c r="F460" s="45">
        <f>F461</f>
        <v>764</v>
      </c>
      <c r="G460" s="45">
        <f>G461</f>
        <v>0</v>
      </c>
      <c r="H460" s="45">
        <f>H461</f>
        <v>0</v>
      </c>
    </row>
    <row r="461" spans="1:8" ht="47.25">
      <c r="A461" s="40" t="s">
        <v>990</v>
      </c>
      <c r="B461" s="43" t="s">
        <v>851</v>
      </c>
      <c r="C461" s="43" t="s">
        <v>69</v>
      </c>
      <c r="D461" s="43" t="s">
        <v>54</v>
      </c>
      <c r="E461" s="74"/>
      <c r="F461" s="45">
        <f>F462</f>
        <v>764</v>
      </c>
      <c r="G461" s="45"/>
      <c r="H461" s="45"/>
    </row>
    <row r="462" spans="1:8" ht="47.25">
      <c r="A462" s="40" t="s">
        <v>20</v>
      </c>
      <c r="B462" s="43" t="s">
        <v>851</v>
      </c>
      <c r="C462" s="43" t="s">
        <v>69</v>
      </c>
      <c r="D462" s="43" t="s">
        <v>54</v>
      </c>
      <c r="E462" s="74" t="s">
        <v>100</v>
      </c>
      <c r="F462" s="45">
        <f>756.4+7.6</f>
        <v>764</v>
      </c>
      <c r="G462" s="45"/>
      <c r="H462" s="45"/>
    </row>
    <row r="463" spans="1:8" ht="78.75">
      <c r="A463" s="40" t="s">
        <v>258</v>
      </c>
      <c r="B463" s="44" t="s">
        <v>275</v>
      </c>
      <c r="C463" s="43"/>
      <c r="D463" s="43"/>
      <c r="E463" s="189"/>
      <c r="F463" s="45">
        <f aca="true" t="shared" si="42" ref="F463:H464">F464</f>
        <v>605.9</v>
      </c>
      <c r="G463" s="45">
        <f t="shared" si="42"/>
        <v>605.9</v>
      </c>
      <c r="H463" s="45">
        <f t="shared" si="42"/>
        <v>605.9</v>
      </c>
    </row>
    <row r="464" spans="1:8" ht="126">
      <c r="A464" s="124" t="s">
        <v>107</v>
      </c>
      <c r="B464" s="44" t="s">
        <v>276</v>
      </c>
      <c r="C464" s="43" t="s">
        <v>58</v>
      </c>
      <c r="D464" s="43" t="s">
        <v>69</v>
      </c>
      <c r="E464" s="189"/>
      <c r="F464" s="45">
        <f t="shared" si="42"/>
        <v>605.9</v>
      </c>
      <c r="G464" s="45">
        <f t="shared" si="42"/>
        <v>605.9</v>
      </c>
      <c r="H464" s="45">
        <f t="shared" si="42"/>
        <v>605.9</v>
      </c>
    </row>
    <row r="465" spans="1:8" ht="47.25">
      <c r="A465" s="40" t="s">
        <v>20</v>
      </c>
      <c r="B465" s="44" t="s">
        <v>276</v>
      </c>
      <c r="C465" s="43" t="s">
        <v>58</v>
      </c>
      <c r="D465" s="43" t="s">
        <v>69</v>
      </c>
      <c r="E465" s="189" t="s">
        <v>100</v>
      </c>
      <c r="F465" s="59">
        <v>605.9</v>
      </c>
      <c r="G465" s="59">
        <v>605.9</v>
      </c>
      <c r="H465" s="59">
        <v>605.9</v>
      </c>
    </row>
    <row r="466" spans="1:8" ht="101.25" customHeight="1">
      <c r="A466" s="40" t="s">
        <v>837</v>
      </c>
      <c r="B466" s="44" t="s">
        <v>277</v>
      </c>
      <c r="C466" s="43"/>
      <c r="D466" s="43"/>
      <c r="E466" s="189"/>
      <c r="F466" s="45">
        <f aca="true" t="shared" si="43" ref="F466:H467">F467</f>
        <v>148.8</v>
      </c>
      <c r="G466" s="45">
        <f t="shared" si="43"/>
        <v>132.3</v>
      </c>
      <c r="H466" s="45">
        <f t="shared" si="43"/>
        <v>132.3</v>
      </c>
    </row>
    <row r="467" spans="1:8" ht="144" customHeight="1">
      <c r="A467" s="172" t="s">
        <v>425</v>
      </c>
      <c r="B467" s="44" t="s">
        <v>278</v>
      </c>
      <c r="C467" s="43" t="s">
        <v>65</v>
      </c>
      <c r="D467" s="43" t="s">
        <v>59</v>
      </c>
      <c r="E467" s="189"/>
      <c r="F467" s="45">
        <f t="shared" si="43"/>
        <v>148.8</v>
      </c>
      <c r="G467" s="45">
        <f t="shared" si="43"/>
        <v>132.3</v>
      </c>
      <c r="H467" s="45">
        <f t="shared" si="43"/>
        <v>132.3</v>
      </c>
    </row>
    <row r="468" spans="1:8" ht="47.25">
      <c r="A468" s="40" t="s">
        <v>20</v>
      </c>
      <c r="B468" s="44" t="s">
        <v>278</v>
      </c>
      <c r="C468" s="43" t="s">
        <v>65</v>
      </c>
      <c r="D468" s="43" t="s">
        <v>59</v>
      </c>
      <c r="E468" s="44" t="s">
        <v>100</v>
      </c>
      <c r="F468" s="59">
        <v>148.8</v>
      </c>
      <c r="G468" s="59">
        <v>132.3</v>
      </c>
      <c r="H468" s="59">
        <v>132.3</v>
      </c>
    </row>
    <row r="469" spans="1:8" ht="47.25">
      <c r="A469" s="40" t="s">
        <v>852</v>
      </c>
      <c r="B469" s="44" t="s">
        <v>853</v>
      </c>
      <c r="C469" s="43"/>
      <c r="D469" s="43"/>
      <c r="E469" s="44"/>
      <c r="F469" s="59">
        <f aca="true" t="shared" si="44" ref="F469:H470">F470</f>
        <v>2200</v>
      </c>
      <c r="G469" s="59">
        <f t="shared" si="44"/>
        <v>0</v>
      </c>
      <c r="H469" s="59">
        <f t="shared" si="44"/>
        <v>0</v>
      </c>
    </row>
    <row r="470" spans="1:8" ht="31.5">
      <c r="A470" s="40" t="s">
        <v>854</v>
      </c>
      <c r="B470" s="44" t="s">
        <v>855</v>
      </c>
      <c r="C470" s="43" t="s">
        <v>69</v>
      </c>
      <c r="D470" s="43" t="s">
        <v>52</v>
      </c>
      <c r="E470" s="44"/>
      <c r="F470" s="59">
        <f t="shared" si="44"/>
        <v>2200</v>
      </c>
      <c r="G470" s="59">
        <f t="shared" si="44"/>
        <v>0</v>
      </c>
      <c r="H470" s="59">
        <f t="shared" si="44"/>
        <v>0</v>
      </c>
    </row>
    <row r="471" spans="1:8" ht="15.75">
      <c r="A471" s="40" t="s">
        <v>420</v>
      </c>
      <c r="B471" s="44" t="s">
        <v>855</v>
      </c>
      <c r="C471" s="43" t="s">
        <v>69</v>
      </c>
      <c r="D471" s="43" t="s">
        <v>52</v>
      </c>
      <c r="E471" s="44" t="s">
        <v>419</v>
      </c>
      <c r="F471" s="59">
        <v>2200</v>
      </c>
      <c r="G471" s="59">
        <v>0</v>
      </c>
      <c r="H471" s="59">
        <v>0</v>
      </c>
    </row>
    <row r="472" spans="1:8" ht="39" customHeight="1">
      <c r="A472" s="168" t="s">
        <v>529</v>
      </c>
      <c r="B472" s="169" t="s">
        <v>530</v>
      </c>
      <c r="C472" s="179"/>
      <c r="D472" s="179"/>
      <c r="E472" s="151"/>
      <c r="F472" s="148">
        <f aca="true" t="shared" si="45" ref="F472:H473">F473</f>
        <v>37161.4</v>
      </c>
      <c r="G472" s="148">
        <f t="shared" si="45"/>
        <v>16840.600000000002</v>
      </c>
      <c r="H472" s="94">
        <f t="shared" si="45"/>
        <v>0</v>
      </c>
    </row>
    <row r="473" spans="1:8" ht="70.5" customHeight="1">
      <c r="A473" s="170" t="s">
        <v>532</v>
      </c>
      <c r="B473" s="44" t="s">
        <v>531</v>
      </c>
      <c r="C473" s="43" t="s">
        <v>69</v>
      </c>
      <c r="D473" s="43" t="s">
        <v>52</v>
      </c>
      <c r="E473" s="74"/>
      <c r="F473" s="94">
        <f t="shared" si="45"/>
        <v>37161.4</v>
      </c>
      <c r="G473" s="94">
        <f t="shared" si="45"/>
        <v>16840.600000000002</v>
      </c>
      <c r="H473" s="94">
        <f t="shared" si="45"/>
        <v>0</v>
      </c>
    </row>
    <row r="474" spans="1:8" ht="15.75">
      <c r="A474" s="40" t="s">
        <v>420</v>
      </c>
      <c r="B474" s="44" t="s">
        <v>531</v>
      </c>
      <c r="C474" s="43" t="s">
        <v>69</v>
      </c>
      <c r="D474" s="43" t="s">
        <v>52</v>
      </c>
      <c r="E474" s="74" t="s">
        <v>419</v>
      </c>
      <c r="F474" s="94">
        <f>539.6+36621.8</f>
        <v>37161.4</v>
      </c>
      <c r="G474" s="45">
        <f>16672.2+168.4</f>
        <v>16840.600000000002</v>
      </c>
      <c r="H474" s="45">
        <v>0</v>
      </c>
    </row>
    <row r="475" spans="1:8" ht="89.25" customHeight="1">
      <c r="A475" s="186" t="s">
        <v>790</v>
      </c>
      <c r="B475" s="46" t="s">
        <v>371</v>
      </c>
      <c r="C475" s="46"/>
      <c r="D475" s="46"/>
      <c r="E475" s="103"/>
      <c r="F475" s="93">
        <f>F476+F480</f>
        <v>500</v>
      </c>
      <c r="G475" s="93">
        <f>G476+G480</f>
        <v>500</v>
      </c>
      <c r="H475" s="93">
        <f>H476+H480</f>
        <v>50</v>
      </c>
    </row>
    <row r="476" spans="1:8" ht="31.5">
      <c r="A476" s="37" t="s">
        <v>370</v>
      </c>
      <c r="B476" s="43" t="s">
        <v>791</v>
      </c>
      <c r="C476" s="43"/>
      <c r="D476" s="43"/>
      <c r="E476" s="74"/>
      <c r="F476" s="45">
        <f aca="true" t="shared" si="46" ref="F476:H477">F477</f>
        <v>230</v>
      </c>
      <c r="G476" s="45">
        <f t="shared" si="46"/>
        <v>230</v>
      </c>
      <c r="H476" s="45">
        <f t="shared" si="46"/>
        <v>30</v>
      </c>
    </row>
    <row r="477" spans="1:8" ht="31.5">
      <c r="A477" s="40" t="s">
        <v>95</v>
      </c>
      <c r="B477" s="43" t="s">
        <v>792</v>
      </c>
      <c r="C477" s="43" t="s">
        <v>51</v>
      </c>
      <c r="D477" s="43" t="s">
        <v>56</v>
      </c>
      <c r="E477" s="74"/>
      <c r="F477" s="45">
        <f t="shared" si="46"/>
        <v>230</v>
      </c>
      <c r="G477" s="45">
        <f t="shared" si="46"/>
        <v>230</v>
      </c>
      <c r="H477" s="45">
        <f t="shared" si="46"/>
        <v>30</v>
      </c>
    </row>
    <row r="478" spans="1:8" ht="47.25">
      <c r="A478" s="40" t="s">
        <v>20</v>
      </c>
      <c r="B478" s="43" t="s">
        <v>792</v>
      </c>
      <c r="C478" s="43" t="s">
        <v>51</v>
      </c>
      <c r="D478" s="43" t="s">
        <v>56</v>
      </c>
      <c r="E478" s="74" t="s">
        <v>100</v>
      </c>
      <c r="F478" s="45">
        <v>230</v>
      </c>
      <c r="G478" s="45">
        <v>230</v>
      </c>
      <c r="H478" s="45">
        <f>230-200</f>
        <v>30</v>
      </c>
    </row>
    <row r="479" spans="1:8" ht="63">
      <c r="A479" s="40" t="s">
        <v>795</v>
      </c>
      <c r="B479" s="43" t="s">
        <v>793</v>
      </c>
      <c r="C479" s="43"/>
      <c r="D479" s="43"/>
      <c r="E479" s="74"/>
      <c r="F479" s="45">
        <f aca="true" t="shared" si="47" ref="F479:H480">F480</f>
        <v>270</v>
      </c>
      <c r="G479" s="45">
        <f t="shared" si="47"/>
        <v>270</v>
      </c>
      <c r="H479" s="45">
        <f t="shared" si="47"/>
        <v>20</v>
      </c>
    </row>
    <row r="480" spans="1:8" ht="31.5">
      <c r="A480" s="40" t="s">
        <v>95</v>
      </c>
      <c r="B480" s="43" t="s">
        <v>794</v>
      </c>
      <c r="C480" s="43" t="s">
        <v>51</v>
      </c>
      <c r="D480" s="43" t="s">
        <v>56</v>
      </c>
      <c r="E480" s="74"/>
      <c r="F480" s="45">
        <f t="shared" si="47"/>
        <v>270</v>
      </c>
      <c r="G480" s="45">
        <f t="shared" si="47"/>
        <v>270</v>
      </c>
      <c r="H480" s="45">
        <f t="shared" si="47"/>
        <v>20</v>
      </c>
    </row>
    <row r="481" spans="1:8" ht="47.25">
      <c r="A481" s="40" t="s">
        <v>20</v>
      </c>
      <c r="B481" s="43" t="s">
        <v>794</v>
      </c>
      <c r="C481" s="43" t="s">
        <v>51</v>
      </c>
      <c r="D481" s="43" t="s">
        <v>56</v>
      </c>
      <c r="E481" s="74" t="s">
        <v>100</v>
      </c>
      <c r="F481" s="45">
        <v>270</v>
      </c>
      <c r="G481" s="45">
        <v>270</v>
      </c>
      <c r="H481" s="45">
        <f>270-250</f>
        <v>20</v>
      </c>
    </row>
    <row r="482" spans="1:8" ht="63">
      <c r="A482" s="186" t="s">
        <v>856</v>
      </c>
      <c r="B482" s="46" t="s">
        <v>169</v>
      </c>
      <c r="C482" s="193"/>
      <c r="D482" s="193"/>
      <c r="E482" s="103"/>
      <c r="F482" s="93">
        <f>F483+F486+F489+F492+F495+F498+F503+F506+F509</f>
        <v>10541.7</v>
      </c>
      <c r="G482" s="93">
        <f>G483+G486+G489+G492+G495+G498+G503+G506+G509</f>
        <v>2708</v>
      </c>
      <c r="H482" s="93">
        <f>H483+H486+H489+H492+H495+H498+H503+H506+H509</f>
        <v>2708</v>
      </c>
    </row>
    <row r="483" spans="1:8" ht="31.5">
      <c r="A483" s="37" t="s">
        <v>857</v>
      </c>
      <c r="B483" s="43" t="s">
        <v>858</v>
      </c>
      <c r="C483" s="194"/>
      <c r="D483" s="194"/>
      <c r="E483" s="74"/>
      <c r="F483" s="45">
        <f aca="true" t="shared" si="48" ref="F483:H484">F484</f>
        <v>960.5</v>
      </c>
      <c r="G483" s="45">
        <f t="shared" si="48"/>
        <v>1230</v>
      </c>
      <c r="H483" s="45">
        <f t="shared" si="48"/>
        <v>1230</v>
      </c>
    </row>
    <row r="484" spans="1:8" ht="31.5">
      <c r="A484" s="40" t="s">
        <v>784</v>
      </c>
      <c r="B484" s="43" t="s">
        <v>859</v>
      </c>
      <c r="C484" s="194">
        <v>5</v>
      </c>
      <c r="D484" s="194">
        <v>3</v>
      </c>
      <c r="E484" s="74"/>
      <c r="F484" s="45">
        <f t="shared" si="48"/>
        <v>960.5</v>
      </c>
      <c r="G484" s="45">
        <f t="shared" si="48"/>
        <v>1230</v>
      </c>
      <c r="H484" s="45">
        <f t="shared" si="48"/>
        <v>1230</v>
      </c>
    </row>
    <row r="485" spans="1:8" ht="47.25">
      <c r="A485" s="40" t="s">
        <v>20</v>
      </c>
      <c r="B485" s="43" t="s">
        <v>859</v>
      </c>
      <c r="C485" s="194">
        <v>5</v>
      </c>
      <c r="D485" s="194">
        <v>3</v>
      </c>
      <c r="E485" s="74" t="s">
        <v>100</v>
      </c>
      <c r="F485" s="45">
        <f>1230+335-80-574.5+50</f>
        <v>960.5</v>
      </c>
      <c r="G485" s="45">
        <v>1230</v>
      </c>
      <c r="H485" s="45">
        <v>1230</v>
      </c>
    </row>
    <row r="486" spans="1:8" ht="78.75">
      <c r="A486" s="37" t="s">
        <v>860</v>
      </c>
      <c r="B486" s="43" t="s">
        <v>861</v>
      </c>
      <c r="C486" s="194"/>
      <c r="D486" s="194"/>
      <c r="E486" s="74"/>
      <c r="F486" s="45">
        <f aca="true" t="shared" si="49" ref="F486:H487">F487</f>
        <v>60</v>
      </c>
      <c r="G486" s="45">
        <f t="shared" si="49"/>
        <v>60</v>
      </c>
      <c r="H486" s="45">
        <f t="shared" si="49"/>
        <v>60</v>
      </c>
    </row>
    <row r="487" spans="1:8" ht="31.5">
      <c r="A487" s="40" t="s">
        <v>784</v>
      </c>
      <c r="B487" s="43" t="s">
        <v>862</v>
      </c>
      <c r="C487" s="194">
        <v>5</v>
      </c>
      <c r="D487" s="194">
        <v>3</v>
      </c>
      <c r="E487" s="74"/>
      <c r="F487" s="45">
        <f t="shared" si="49"/>
        <v>60</v>
      </c>
      <c r="G487" s="45">
        <f t="shared" si="49"/>
        <v>60</v>
      </c>
      <c r="H487" s="45">
        <f t="shared" si="49"/>
        <v>60</v>
      </c>
    </row>
    <row r="488" spans="1:8" ht="47.25">
      <c r="A488" s="40" t="s">
        <v>20</v>
      </c>
      <c r="B488" s="43" t="s">
        <v>862</v>
      </c>
      <c r="C488" s="194">
        <v>5</v>
      </c>
      <c r="D488" s="194">
        <v>3</v>
      </c>
      <c r="E488" s="74" t="s">
        <v>100</v>
      </c>
      <c r="F488" s="45">
        <v>60</v>
      </c>
      <c r="G488" s="45">
        <v>60</v>
      </c>
      <c r="H488" s="45">
        <v>60</v>
      </c>
    </row>
    <row r="489" spans="1:8" ht="31.5">
      <c r="A489" s="37" t="s">
        <v>863</v>
      </c>
      <c r="B489" s="43" t="s">
        <v>864</v>
      </c>
      <c r="C489" s="194"/>
      <c r="D489" s="194"/>
      <c r="E489" s="74"/>
      <c r="F489" s="45">
        <f aca="true" t="shared" si="50" ref="F489:H490">F490</f>
        <v>100</v>
      </c>
      <c r="G489" s="45">
        <f t="shared" si="50"/>
        <v>100</v>
      </c>
      <c r="H489" s="45">
        <f t="shared" si="50"/>
        <v>100</v>
      </c>
    </row>
    <row r="490" spans="1:8" ht="31.5">
      <c r="A490" s="40" t="s">
        <v>784</v>
      </c>
      <c r="B490" s="43" t="s">
        <v>865</v>
      </c>
      <c r="C490" s="194">
        <v>5</v>
      </c>
      <c r="D490" s="194">
        <v>3</v>
      </c>
      <c r="E490" s="74"/>
      <c r="F490" s="45">
        <f t="shared" si="50"/>
        <v>100</v>
      </c>
      <c r="G490" s="45">
        <f t="shared" si="50"/>
        <v>100</v>
      </c>
      <c r="H490" s="45">
        <f t="shared" si="50"/>
        <v>100</v>
      </c>
    </row>
    <row r="491" spans="1:8" ht="47.25">
      <c r="A491" s="40" t="s">
        <v>20</v>
      </c>
      <c r="B491" s="43" t="s">
        <v>865</v>
      </c>
      <c r="C491" s="194">
        <v>5</v>
      </c>
      <c r="D491" s="194">
        <v>3</v>
      </c>
      <c r="E491" s="74" t="s">
        <v>100</v>
      </c>
      <c r="F491" s="45">
        <v>100</v>
      </c>
      <c r="G491" s="45">
        <v>100</v>
      </c>
      <c r="H491" s="45">
        <v>100</v>
      </c>
    </row>
    <row r="492" spans="1:8" ht="59.25" customHeight="1" hidden="1">
      <c r="A492" s="37" t="s">
        <v>866</v>
      </c>
      <c r="B492" s="43" t="s">
        <v>885</v>
      </c>
      <c r="C492" s="194"/>
      <c r="D492" s="194"/>
      <c r="E492" s="43"/>
      <c r="F492" s="45">
        <f aca="true" t="shared" si="51" ref="F492:H493">F493</f>
        <v>0</v>
      </c>
      <c r="G492" s="45">
        <f t="shared" si="51"/>
        <v>0</v>
      </c>
      <c r="H492" s="45">
        <f t="shared" si="51"/>
        <v>0</v>
      </c>
    </row>
    <row r="493" spans="1:8" ht="31.5" hidden="1">
      <c r="A493" s="40" t="s">
        <v>784</v>
      </c>
      <c r="B493" s="43" t="s">
        <v>867</v>
      </c>
      <c r="C493" s="194">
        <v>5</v>
      </c>
      <c r="D493" s="194">
        <v>3</v>
      </c>
      <c r="E493" s="74"/>
      <c r="F493" s="45">
        <f t="shared" si="51"/>
        <v>0</v>
      </c>
      <c r="G493" s="45">
        <f t="shared" si="51"/>
        <v>0</v>
      </c>
      <c r="H493" s="45">
        <f t="shared" si="51"/>
        <v>0</v>
      </c>
    </row>
    <row r="494" spans="1:8" ht="47.25" hidden="1">
      <c r="A494" s="40" t="s">
        <v>20</v>
      </c>
      <c r="B494" s="43" t="s">
        <v>867</v>
      </c>
      <c r="C494" s="194">
        <v>5</v>
      </c>
      <c r="D494" s="194">
        <v>3</v>
      </c>
      <c r="E494" s="74" t="s">
        <v>100</v>
      </c>
      <c r="F494" s="45">
        <v>0</v>
      </c>
      <c r="G494" s="45">
        <v>0</v>
      </c>
      <c r="H494" s="45">
        <v>0</v>
      </c>
    </row>
    <row r="495" spans="1:8" ht="31.5">
      <c r="A495" s="37" t="s">
        <v>868</v>
      </c>
      <c r="B495" s="43" t="s">
        <v>886</v>
      </c>
      <c r="C495" s="194"/>
      <c r="D495" s="194"/>
      <c r="E495" s="43"/>
      <c r="F495" s="45">
        <f aca="true" t="shared" si="52" ref="F495:H496">F496</f>
        <v>257</v>
      </c>
      <c r="G495" s="45">
        <f t="shared" si="52"/>
        <v>257</v>
      </c>
      <c r="H495" s="45">
        <f t="shared" si="52"/>
        <v>257</v>
      </c>
    </row>
    <row r="496" spans="1:8" ht="31.5">
      <c r="A496" s="40" t="s">
        <v>869</v>
      </c>
      <c r="B496" s="43" t="s">
        <v>870</v>
      </c>
      <c r="C496" s="194">
        <v>5</v>
      </c>
      <c r="D496" s="194">
        <v>3</v>
      </c>
      <c r="E496" s="74"/>
      <c r="F496" s="45">
        <f t="shared" si="52"/>
        <v>257</v>
      </c>
      <c r="G496" s="45">
        <f t="shared" si="52"/>
        <v>257</v>
      </c>
      <c r="H496" s="45">
        <f t="shared" si="52"/>
        <v>257</v>
      </c>
    </row>
    <row r="497" spans="1:8" ht="47.25">
      <c r="A497" s="40" t="s">
        <v>20</v>
      </c>
      <c r="B497" s="43" t="s">
        <v>870</v>
      </c>
      <c r="C497" s="194">
        <v>5</v>
      </c>
      <c r="D497" s="194">
        <v>3</v>
      </c>
      <c r="E497" s="74" t="s">
        <v>100</v>
      </c>
      <c r="F497" s="94">
        <v>257</v>
      </c>
      <c r="G497" s="94">
        <v>257</v>
      </c>
      <c r="H497" s="94">
        <v>257</v>
      </c>
    </row>
    <row r="498" spans="1:8" ht="31.5">
      <c r="A498" s="37" t="s">
        <v>871</v>
      </c>
      <c r="B498" s="43" t="s">
        <v>884</v>
      </c>
      <c r="C498" s="194"/>
      <c r="D498" s="194"/>
      <c r="E498" s="43"/>
      <c r="F498" s="94">
        <f>F499+F501</f>
        <v>1350</v>
      </c>
      <c r="G498" s="94">
        <f aca="true" t="shared" si="53" ref="F498:H499">G499</f>
        <v>850</v>
      </c>
      <c r="H498" s="94">
        <f t="shared" si="53"/>
        <v>850</v>
      </c>
    </row>
    <row r="499" spans="1:8" ht="31.5">
      <c r="A499" s="40" t="s">
        <v>784</v>
      </c>
      <c r="B499" s="43" t="s">
        <v>872</v>
      </c>
      <c r="C499" s="194">
        <v>5</v>
      </c>
      <c r="D499" s="194">
        <v>3</v>
      </c>
      <c r="E499" s="74"/>
      <c r="F499" s="59">
        <f t="shared" si="53"/>
        <v>500</v>
      </c>
      <c r="G499" s="59">
        <f t="shared" si="53"/>
        <v>850</v>
      </c>
      <c r="H499" s="59">
        <f t="shared" si="53"/>
        <v>850</v>
      </c>
    </row>
    <row r="500" spans="1:8" ht="47.25">
      <c r="A500" s="40" t="s">
        <v>20</v>
      </c>
      <c r="B500" s="43" t="s">
        <v>872</v>
      </c>
      <c r="C500" s="194">
        <v>5</v>
      </c>
      <c r="D500" s="194">
        <v>3</v>
      </c>
      <c r="E500" s="74" t="s">
        <v>100</v>
      </c>
      <c r="F500" s="59">
        <f>550+300-350</f>
        <v>500</v>
      </c>
      <c r="G500" s="59">
        <f>550+300</f>
        <v>850</v>
      </c>
      <c r="H500" s="59">
        <f>550+300</f>
        <v>850</v>
      </c>
    </row>
    <row r="501" spans="1:8" ht="18.75" customHeight="1">
      <c r="A501" s="40" t="s">
        <v>936</v>
      </c>
      <c r="B501" s="43" t="s">
        <v>1016</v>
      </c>
      <c r="C501" s="194">
        <v>5</v>
      </c>
      <c r="D501" s="194">
        <v>3</v>
      </c>
      <c r="E501" s="74"/>
      <c r="F501" s="59">
        <f>F502</f>
        <v>850</v>
      </c>
      <c r="G501" s="59"/>
      <c r="H501" s="59"/>
    </row>
    <row r="502" spans="1:8" ht="19.5" customHeight="1">
      <c r="A502" s="125" t="s">
        <v>110</v>
      </c>
      <c r="B502" s="43" t="s">
        <v>1016</v>
      </c>
      <c r="C502" s="194">
        <v>5</v>
      </c>
      <c r="D502" s="194">
        <v>3</v>
      </c>
      <c r="E502" s="74" t="s">
        <v>111</v>
      </c>
      <c r="F502" s="59">
        <f>350+500</f>
        <v>850</v>
      </c>
      <c r="G502" s="59"/>
      <c r="H502" s="59"/>
    </row>
    <row r="503" spans="1:8" ht="31.5">
      <c r="A503" s="37" t="s">
        <v>873</v>
      </c>
      <c r="B503" s="43" t="s">
        <v>883</v>
      </c>
      <c r="C503" s="194"/>
      <c r="D503" s="194"/>
      <c r="E503" s="43"/>
      <c r="F503" s="59">
        <f aca="true" t="shared" si="54" ref="F503:H504">F504</f>
        <v>11</v>
      </c>
      <c r="G503" s="59">
        <f t="shared" si="54"/>
        <v>41</v>
      </c>
      <c r="H503" s="59">
        <f t="shared" si="54"/>
        <v>41</v>
      </c>
    </row>
    <row r="504" spans="1:8" ht="31.5">
      <c r="A504" s="40" t="s">
        <v>784</v>
      </c>
      <c r="B504" s="43" t="s">
        <v>874</v>
      </c>
      <c r="C504" s="194">
        <v>5</v>
      </c>
      <c r="D504" s="194">
        <v>3</v>
      </c>
      <c r="E504" s="74"/>
      <c r="F504" s="94">
        <f t="shared" si="54"/>
        <v>11</v>
      </c>
      <c r="G504" s="94">
        <f t="shared" si="54"/>
        <v>41</v>
      </c>
      <c r="H504" s="94">
        <f t="shared" si="54"/>
        <v>41</v>
      </c>
    </row>
    <row r="505" spans="1:8" ht="47.25">
      <c r="A505" s="40" t="s">
        <v>20</v>
      </c>
      <c r="B505" s="43" t="s">
        <v>874</v>
      </c>
      <c r="C505" s="194">
        <v>5</v>
      </c>
      <c r="D505" s="194">
        <v>3</v>
      </c>
      <c r="E505" s="74" t="s">
        <v>100</v>
      </c>
      <c r="F505" s="94">
        <v>11</v>
      </c>
      <c r="G505" s="94">
        <v>41</v>
      </c>
      <c r="H505" s="94">
        <v>41</v>
      </c>
    </row>
    <row r="506" spans="1:8" ht="31.5">
      <c r="A506" s="37" t="s">
        <v>876</v>
      </c>
      <c r="B506" s="43" t="s">
        <v>965</v>
      </c>
      <c r="C506" s="194"/>
      <c r="D506" s="194"/>
      <c r="E506" s="43"/>
      <c r="F506" s="94">
        <f aca="true" t="shared" si="55" ref="F506:H507">F507</f>
        <v>370.79999999999995</v>
      </c>
      <c r="G506" s="94">
        <f t="shared" si="55"/>
        <v>170</v>
      </c>
      <c r="H506" s="94">
        <f t="shared" si="55"/>
        <v>170</v>
      </c>
    </row>
    <row r="507" spans="1:8" ht="31.5">
      <c r="A507" s="40" t="s">
        <v>877</v>
      </c>
      <c r="B507" s="43" t="s">
        <v>878</v>
      </c>
      <c r="C507" s="194">
        <v>5</v>
      </c>
      <c r="D507" s="194">
        <v>5</v>
      </c>
      <c r="E507" s="74"/>
      <c r="F507" s="94">
        <f t="shared" si="55"/>
        <v>370.79999999999995</v>
      </c>
      <c r="G507" s="94">
        <f t="shared" si="55"/>
        <v>170</v>
      </c>
      <c r="H507" s="94">
        <f t="shared" si="55"/>
        <v>170</v>
      </c>
    </row>
    <row r="508" spans="1:8" ht="31.5">
      <c r="A508" s="37" t="s">
        <v>96</v>
      </c>
      <c r="B508" s="43" t="s">
        <v>878</v>
      </c>
      <c r="C508" s="194">
        <v>5</v>
      </c>
      <c r="D508" s="194">
        <v>5</v>
      </c>
      <c r="E508" s="74" t="s">
        <v>97</v>
      </c>
      <c r="F508" s="94">
        <v>370.79999999999995</v>
      </c>
      <c r="G508" s="94">
        <v>170</v>
      </c>
      <c r="H508" s="94">
        <v>170</v>
      </c>
    </row>
    <row r="509" spans="1:8" ht="31.5">
      <c r="A509" s="37" t="s">
        <v>880</v>
      </c>
      <c r="B509" s="43" t="s">
        <v>966</v>
      </c>
      <c r="C509" s="194"/>
      <c r="D509" s="194"/>
      <c r="E509" s="43"/>
      <c r="F509" s="59">
        <f>F510+F512</f>
        <v>7432.4</v>
      </c>
      <c r="G509" s="59">
        <f>G510+G512</f>
        <v>0</v>
      </c>
      <c r="H509" s="59">
        <f>H510+H512</f>
        <v>0</v>
      </c>
    </row>
    <row r="510" spans="1:8" ht="31.5">
      <c r="A510" s="40" t="s">
        <v>421</v>
      </c>
      <c r="B510" s="43" t="s">
        <v>881</v>
      </c>
      <c r="C510" s="194">
        <v>5</v>
      </c>
      <c r="D510" s="194">
        <v>3</v>
      </c>
      <c r="E510" s="74"/>
      <c r="F510" s="59">
        <f>F511</f>
        <v>6986</v>
      </c>
      <c r="G510" s="59">
        <f>G511</f>
        <v>0</v>
      </c>
      <c r="H510" s="59">
        <f>H511</f>
        <v>0</v>
      </c>
    </row>
    <row r="511" spans="1:8" ht="47.25">
      <c r="A511" s="40" t="s">
        <v>20</v>
      </c>
      <c r="B511" s="43" t="s">
        <v>881</v>
      </c>
      <c r="C511" s="194">
        <v>5</v>
      </c>
      <c r="D511" s="194">
        <v>3</v>
      </c>
      <c r="E511" s="74" t="s">
        <v>100</v>
      </c>
      <c r="F511" s="59">
        <f>2467.6+182.5-182.5-684.3+4712.7+490</f>
        <v>6986</v>
      </c>
      <c r="G511" s="59">
        <v>0</v>
      </c>
      <c r="H511" s="59">
        <v>0</v>
      </c>
    </row>
    <row r="512" spans="1:8" ht="47.25">
      <c r="A512" s="40" t="s">
        <v>422</v>
      </c>
      <c r="B512" s="43" t="s">
        <v>882</v>
      </c>
      <c r="C512" s="194">
        <v>5</v>
      </c>
      <c r="D512" s="194">
        <v>3</v>
      </c>
      <c r="E512" s="43"/>
      <c r="F512" s="59">
        <f>F513</f>
        <v>446.4</v>
      </c>
      <c r="G512" s="59">
        <f>G513</f>
        <v>0</v>
      </c>
      <c r="H512" s="59">
        <f>H513</f>
        <v>0</v>
      </c>
    </row>
    <row r="513" spans="1:8" ht="47.25">
      <c r="A513" s="40" t="s">
        <v>20</v>
      </c>
      <c r="B513" s="43" t="s">
        <v>882</v>
      </c>
      <c r="C513" s="194">
        <v>5</v>
      </c>
      <c r="D513" s="194">
        <v>3</v>
      </c>
      <c r="E513" s="43" t="s">
        <v>100</v>
      </c>
      <c r="F513" s="59">
        <f>583.3+36.5-36.5-136.9</f>
        <v>446.4</v>
      </c>
      <c r="G513" s="59">
        <v>0</v>
      </c>
      <c r="H513" s="59">
        <v>0</v>
      </c>
    </row>
    <row r="514" spans="1:8" ht="78.75">
      <c r="A514" s="50" t="s">
        <v>786</v>
      </c>
      <c r="B514" s="46" t="s">
        <v>398</v>
      </c>
      <c r="C514" s="46"/>
      <c r="D514" s="46"/>
      <c r="E514" s="103"/>
      <c r="F514" s="149">
        <f>F522+F515</f>
        <v>4430.8</v>
      </c>
      <c r="G514" s="149">
        <f>G522+G515</f>
        <v>2158.9</v>
      </c>
      <c r="H514" s="149">
        <f>H522+H515</f>
        <v>0</v>
      </c>
    </row>
    <row r="515" spans="1:8" ht="47.25">
      <c r="A515" s="40" t="s">
        <v>775</v>
      </c>
      <c r="B515" s="43" t="s">
        <v>776</v>
      </c>
      <c r="C515" s="43"/>
      <c r="D515" s="43"/>
      <c r="E515" s="74"/>
      <c r="F515" s="94">
        <f>F519+F516</f>
        <v>2415.3</v>
      </c>
      <c r="G515" s="94">
        <f>G519+G516</f>
        <v>0</v>
      </c>
      <c r="H515" s="94">
        <f>H519+H516</f>
        <v>0</v>
      </c>
    </row>
    <row r="516" spans="1:8" ht="31.5">
      <c r="A516" s="40" t="s">
        <v>783</v>
      </c>
      <c r="B516" s="43" t="s">
        <v>782</v>
      </c>
      <c r="C516" s="43"/>
      <c r="D516" s="43"/>
      <c r="E516" s="74"/>
      <c r="F516" s="94">
        <f aca="true" t="shared" si="56" ref="F516:H517">F517</f>
        <v>40</v>
      </c>
      <c r="G516" s="94">
        <f t="shared" si="56"/>
        <v>0</v>
      </c>
      <c r="H516" s="94">
        <f t="shared" si="56"/>
        <v>0</v>
      </c>
    </row>
    <row r="517" spans="1:8" ht="36.75" customHeight="1">
      <c r="A517" s="40" t="s">
        <v>784</v>
      </c>
      <c r="B517" s="43" t="s">
        <v>785</v>
      </c>
      <c r="C517" s="43" t="s">
        <v>69</v>
      </c>
      <c r="D517" s="43" t="s">
        <v>54</v>
      </c>
      <c r="E517" s="74"/>
      <c r="F517" s="94">
        <f t="shared" si="56"/>
        <v>40</v>
      </c>
      <c r="G517" s="94">
        <f t="shared" si="56"/>
        <v>0</v>
      </c>
      <c r="H517" s="94">
        <f t="shared" si="56"/>
        <v>0</v>
      </c>
    </row>
    <row r="518" spans="1:8" ht="47.25">
      <c r="A518" s="40" t="s">
        <v>20</v>
      </c>
      <c r="B518" s="43" t="s">
        <v>785</v>
      </c>
      <c r="C518" s="43" t="s">
        <v>69</v>
      </c>
      <c r="D518" s="43" t="s">
        <v>54</v>
      </c>
      <c r="E518" s="74" t="s">
        <v>100</v>
      </c>
      <c r="F518" s="94">
        <v>40</v>
      </c>
      <c r="G518" s="94">
        <v>0</v>
      </c>
      <c r="H518" s="94">
        <v>0</v>
      </c>
    </row>
    <row r="519" spans="1:8" ht="78.75">
      <c r="A519" s="40" t="s">
        <v>777</v>
      </c>
      <c r="B519" s="43" t="s">
        <v>778</v>
      </c>
      <c r="C519" s="43"/>
      <c r="D519" s="43"/>
      <c r="E519" s="74"/>
      <c r="F519" s="94">
        <f aca="true" t="shared" si="57" ref="F519:H520">F520</f>
        <v>2375.3</v>
      </c>
      <c r="G519" s="94">
        <f t="shared" si="57"/>
        <v>0</v>
      </c>
      <c r="H519" s="94">
        <f t="shared" si="57"/>
        <v>0</v>
      </c>
    </row>
    <row r="520" spans="1:8" ht="47.25">
      <c r="A520" s="40" t="s">
        <v>781</v>
      </c>
      <c r="B520" s="43" t="s">
        <v>993</v>
      </c>
      <c r="C520" s="43" t="s">
        <v>69</v>
      </c>
      <c r="D520" s="43" t="s">
        <v>54</v>
      </c>
      <c r="E520" s="74"/>
      <c r="F520" s="94">
        <f t="shared" si="57"/>
        <v>2375.3</v>
      </c>
      <c r="G520" s="94">
        <f t="shared" si="57"/>
        <v>0</v>
      </c>
      <c r="H520" s="94">
        <f t="shared" si="57"/>
        <v>0</v>
      </c>
    </row>
    <row r="521" spans="1:8" ht="47.25">
      <c r="A521" s="40" t="s">
        <v>20</v>
      </c>
      <c r="B521" s="43" t="s">
        <v>993</v>
      </c>
      <c r="C521" s="43" t="s">
        <v>69</v>
      </c>
      <c r="D521" s="43" t="s">
        <v>54</v>
      </c>
      <c r="E521" s="74" t="s">
        <v>100</v>
      </c>
      <c r="F521" s="94">
        <f>2137.8+237.5</f>
        <v>2375.3</v>
      </c>
      <c r="G521" s="45">
        <v>0</v>
      </c>
      <c r="H521" s="149">
        <v>0</v>
      </c>
    </row>
    <row r="522" spans="1:8" ht="47.25">
      <c r="A522" s="40" t="s">
        <v>779</v>
      </c>
      <c r="B522" s="43" t="s">
        <v>399</v>
      </c>
      <c r="C522" s="43" t="s">
        <v>69</v>
      </c>
      <c r="D522" s="43" t="s">
        <v>54</v>
      </c>
      <c r="E522" s="74"/>
      <c r="F522" s="94">
        <f>F526+F523</f>
        <v>2015.5</v>
      </c>
      <c r="G522" s="94">
        <f>G526+G523</f>
        <v>2158.9</v>
      </c>
      <c r="H522" s="94">
        <f>H526+H523</f>
        <v>0</v>
      </c>
    </row>
    <row r="523" spans="1:8" ht="31.5">
      <c r="A523" s="40" t="s">
        <v>783</v>
      </c>
      <c r="B523" s="43" t="s">
        <v>787</v>
      </c>
      <c r="C523" s="43"/>
      <c r="D523" s="43"/>
      <c r="E523" s="74"/>
      <c r="F523" s="94">
        <f aca="true" t="shared" si="58" ref="F523:H524">F524</f>
        <v>40</v>
      </c>
      <c r="G523" s="94">
        <f t="shared" si="58"/>
        <v>40</v>
      </c>
      <c r="H523" s="94">
        <f t="shared" si="58"/>
        <v>0</v>
      </c>
    </row>
    <row r="524" spans="1:8" ht="31.5">
      <c r="A524" s="40" t="s">
        <v>784</v>
      </c>
      <c r="B524" s="43" t="s">
        <v>788</v>
      </c>
      <c r="C524" s="43" t="s">
        <v>69</v>
      </c>
      <c r="D524" s="43" t="s">
        <v>54</v>
      </c>
      <c r="E524" s="74"/>
      <c r="F524" s="94">
        <f t="shared" si="58"/>
        <v>40</v>
      </c>
      <c r="G524" s="94">
        <f t="shared" si="58"/>
        <v>40</v>
      </c>
      <c r="H524" s="94">
        <f t="shared" si="58"/>
        <v>0</v>
      </c>
    </row>
    <row r="525" spans="1:8" ht="47.25">
      <c r="A525" s="40" t="s">
        <v>20</v>
      </c>
      <c r="B525" s="43" t="s">
        <v>788</v>
      </c>
      <c r="C525" s="43" t="s">
        <v>69</v>
      </c>
      <c r="D525" s="43" t="s">
        <v>54</v>
      </c>
      <c r="E525" s="74" t="s">
        <v>100</v>
      </c>
      <c r="F525" s="94">
        <v>40</v>
      </c>
      <c r="G525" s="94">
        <v>40</v>
      </c>
      <c r="H525" s="94">
        <v>0</v>
      </c>
    </row>
    <row r="526" spans="1:8" ht="83.25" customHeight="1">
      <c r="A526" s="40" t="s">
        <v>780</v>
      </c>
      <c r="B526" s="43" t="s">
        <v>430</v>
      </c>
      <c r="C526" s="43" t="s">
        <v>69</v>
      </c>
      <c r="D526" s="43" t="s">
        <v>54</v>
      </c>
      <c r="E526" s="74"/>
      <c r="F526" s="94">
        <f aca="true" t="shared" si="59" ref="F526:H527">F527</f>
        <v>1975.5</v>
      </c>
      <c r="G526" s="94">
        <f t="shared" si="59"/>
        <v>2118.9</v>
      </c>
      <c r="H526" s="94">
        <f t="shared" si="59"/>
        <v>0</v>
      </c>
    </row>
    <row r="527" spans="1:8" ht="36.75" customHeight="1">
      <c r="A527" s="40" t="s">
        <v>501</v>
      </c>
      <c r="B527" s="43" t="s">
        <v>431</v>
      </c>
      <c r="C527" s="43" t="s">
        <v>69</v>
      </c>
      <c r="D527" s="43" t="s">
        <v>54</v>
      </c>
      <c r="E527" s="74"/>
      <c r="F527" s="94">
        <f t="shared" si="59"/>
        <v>1975.5</v>
      </c>
      <c r="G527" s="94">
        <f t="shared" si="59"/>
        <v>2118.9</v>
      </c>
      <c r="H527" s="94">
        <f t="shared" si="59"/>
        <v>0</v>
      </c>
    </row>
    <row r="528" spans="1:8" ht="47.25">
      <c r="A528" s="40" t="s">
        <v>20</v>
      </c>
      <c r="B528" s="43" t="s">
        <v>431</v>
      </c>
      <c r="C528" s="43" t="s">
        <v>69</v>
      </c>
      <c r="D528" s="43" t="s">
        <v>54</v>
      </c>
      <c r="E528" s="74" t="s">
        <v>100</v>
      </c>
      <c r="F528" s="94">
        <v>1975.5</v>
      </c>
      <c r="G528" s="45">
        <v>2118.9</v>
      </c>
      <c r="H528" s="45">
        <v>0</v>
      </c>
    </row>
    <row r="529" spans="1:8" ht="78.75">
      <c r="A529" s="195" t="s">
        <v>774</v>
      </c>
      <c r="B529" s="46" t="s">
        <v>434</v>
      </c>
      <c r="C529" s="46"/>
      <c r="D529" s="46"/>
      <c r="E529" s="46"/>
      <c r="F529" s="149">
        <f>F530</f>
        <v>242664.80000000002</v>
      </c>
      <c r="G529" s="149">
        <f>G530</f>
        <v>203036.5</v>
      </c>
      <c r="H529" s="149">
        <f>H530</f>
        <v>0</v>
      </c>
    </row>
    <row r="530" spans="1:8" ht="63.75" customHeight="1">
      <c r="A530" s="40" t="s">
        <v>436</v>
      </c>
      <c r="B530" s="43" t="s">
        <v>435</v>
      </c>
      <c r="C530" s="43"/>
      <c r="D530" s="43"/>
      <c r="E530" s="43"/>
      <c r="F530" s="94">
        <f>F531+F533+F535</f>
        <v>242664.80000000002</v>
      </c>
      <c r="G530" s="94">
        <f>G531+G533+G535</f>
        <v>203036.5</v>
      </c>
      <c r="H530" s="94">
        <f>H531+H533+H535</f>
        <v>0</v>
      </c>
    </row>
    <row r="531" spans="1:8" ht="162.75" customHeight="1">
      <c r="A531" s="40" t="s">
        <v>427</v>
      </c>
      <c r="B531" s="43" t="s">
        <v>437</v>
      </c>
      <c r="C531" s="43" t="s">
        <v>69</v>
      </c>
      <c r="D531" s="43" t="s">
        <v>51</v>
      </c>
      <c r="E531" s="43"/>
      <c r="F531" s="94">
        <f>F532</f>
        <v>63329.1</v>
      </c>
      <c r="G531" s="94">
        <f>G532</f>
        <v>80028</v>
      </c>
      <c r="H531" s="94">
        <f>H532</f>
        <v>0</v>
      </c>
    </row>
    <row r="532" spans="1:8" ht="15.75">
      <c r="A532" s="40" t="s">
        <v>420</v>
      </c>
      <c r="B532" s="43" t="s">
        <v>437</v>
      </c>
      <c r="C532" s="43" t="s">
        <v>69</v>
      </c>
      <c r="D532" s="43" t="s">
        <v>51</v>
      </c>
      <c r="E532" s="43" t="s">
        <v>419</v>
      </c>
      <c r="F532" s="45">
        <v>63329.1</v>
      </c>
      <c r="G532" s="45">
        <v>80028</v>
      </c>
      <c r="H532" s="45">
        <v>0</v>
      </c>
    </row>
    <row r="533" spans="1:8" ht="110.25">
      <c r="A533" s="40" t="s">
        <v>439</v>
      </c>
      <c r="B533" s="43" t="s">
        <v>438</v>
      </c>
      <c r="C533" s="43" t="s">
        <v>69</v>
      </c>
      <c r="D533" s="43" t="s">
        <v>51</v>
      </c>
      <c r="E533" s="43"/>
      <c r="F533" s="94">
        <f>F534</f>
        <v>179327.5</v>
      </c>
      <c r="G533" s="94">
        <f>G534</f>
        <v>123002.5</v>
      </c>
      <c r="H533" s="94">
        <f>H534</f>
        <v>0</v>
      </c>
    </row>
    <row r="534" spans="1:8" ht="15.75">
      <c r="A534" s="40" t="s">
        <v>420</v>
      </c>
      <c r="B534" s="43" t="s">
        <v>438</v>
      </c>
      <c r="C534" s="43" t="s">
        <v>69</v>
      </c>
      <c r="D534" s="43" t="s">
        <v>51</v>
      </c>
      <c r="E534" s="43" t="s">
        <v>419</v>
      </c>
      <c r="F534" s="45">
        <v>179327.5</v>
      </c>
      <c r="G534" s="45">
        <v>123002.5</v>
      </c>
      <c r="H534" s="45">
        <v>0</v>
      </c>
    </row>
    <row r="535" spans="1:8" ht="117.75" customHeight="1">
      <c r="A535" s="40" t="s">
        <v>441</v>
      </c>
      <c r="B535" s="43" t="s">
        <v>440</v>
      </c>
      <c r="C535" s="43" t="s">
        <v>69</v>
      </c>
      <c r="D535" s="43" t="s">
        <v>51</v>
      </c>
      <c r="E535" s="43"/>
      <c r="F535" s="94">
        <f>F536</f>
        <v>8.2</v>
      </c>
      <c r="G535" s="94">
        <f>G536</f>
        <v>6</v>
      </c>
      <c r="H535" s="94">
        <f>H536</f>
        <v>0</v>
      </c>
    </row>
    <row r="536" spans="1:8" ht="47.25">
      <c r="A536" s="40" t="s">
        <v>20</v>
      </c>
      <c r="B536" s="43" t="s">
        <v>440</v>
      </c>
      <c r="C536" s="43" t="s">
        <v>69</v>
      </c>
      <c r="D536" s="43" t="s">
        <v>51</v>
      </c>
      <c r="E536" s="74" t="s">
        <v>100</v>
      </c>
      <c r="F536" s="59">
        <v>8.2</v>
      </c>
      <c r="G536" s="94">
        <v>6</v>
      </c>
      <c r="H536" s="94">
        <v>0</v>
      </c>
    </row>
    <row r="537" spans="1:8" ht="78.75">
      <c r="A537" s="50" t="s">
        <v>737</v>
      </c>
      <c r="B537" s="46" t="s">
        <v>480</v>
      </c>
      <c r="C537" s="46"/>
      <c r="D537" s="46"/>
      <c r="E537" s="103"/>
      <c r="F537" s="149">
        <f>F538</f>
        <v>321</v>
      </c>
      <c r="G537" s="149">
        <f>G538</f>
        <v>321</v>
      </c>
      <c r="H537" s="149">
        <f>H538</f>
        <v>321</v>
      </c>
    </row>
    <row r="538" spans="1:8" ht="47.25">
      <c r="A538" s="40" t="s">
        <v>479</v>
      </c>
      <c r="B538" s="43" t="s">
        <v>481</v>
      </c>
      <c r="C538" s="43"/>
      <c r="D538" s="43"/>
      <c r="E538" s="74"/>
      <c r="F538" s="94">
        <f>F541+F543+F539</f>
        <v>321</v>
      </c>
      <c r="G538" s="94">
        <f>G541+G543</f>
        <v>321</v>
      </c>
      <c r="H538" s="94">
        <f>H541+H543</f>
        <v>321</v>
      </c>
    </row>
    <row r="539" spans="1:8" ht="31.5" hidden="1">
      <c r="A539" s="40" t="s">
        <v>185</v>
      </c>
      <c r="B539" s="43" t="s">
        <v>534</v>
      </c>
      <c r="C539" s="43" t="s">
        <v>81</v>
      </c>
      <c r="D539" s="43" t="s">
        <v>51</v>
      </c>
      <c r="E539" s="74"/>
      <c r="F539" s="59">
        <f>F540</f>
        <v>0</v>
      </c>
      <c r="G539" s="59">
        <f>G540</f>
        <v>0</v>
      </c>
      <c r="H539" s="59">
        <f>H540</f>
        <v>0</v>
      </c>
    </row>
    <row r="540" spans="1:8" ht="15.75" hidden="1">
      <c r="A540" s="40" t="s">
        <v>110</v>
      </c>
      <c r="B540" s="43" t="s">
        <v>534</v>
      </c>
      <c r="C540" s="43" t="s">
        <v>81</v>
      </c>
      <c r="D540" s="43" t="s">
        <v>51</v>
      </c>
      <c r="E540" s="74" t="s">
        <v>111</v>
      </c>
      <c r="F540" s="59">
        <v>0</v>
      </c>
      <c r="G540" s="59">
        <v>0</v>
      </c>
      <c r="H540" s="59">
        <v>0</v>
      </c>
    </row>
    <row r="541" spans="1:8" ht="31.5">
      <c r="A541" s="40" t="s">
        <v>218</v>
      </c>
      <c r="B541" s="43" t="s">
        <v>482</v>
      </c>
      <c r="C541" s="43" t="s">
        <v>51</v>
      </c>
      <c r="D541" s="43" t="s">
        <v>63</v>
      </c>
      <c r="E541" s="43"/>
      <c r="F541" s="94">
        <f>F542</f>
        <v>306</v>
      </c>
      <c r="G541" s="45">
        <f>G542</f>
        <v>306</v>
      </c>
      <c r="H541" s="45">
        <f>H542</f>
        <v>306</v>
      </c>
    </row>
    <row r="542" spans="1:8" ht="47.25">
      <c r="A542" s="40" t="s">
        <v>147</v>
      </c>
      <c r="B542" s="43" t="s">
        <v>482</v>
      </c>
      <c r="C542" s="43" t="s">
        <v>51</v>
      </c>
      <c r="D542" s="43" t="s">
        <v>63</v>
      </c>
      <c r="E542" s="43" t="s">
        <v>219</v>
      </c>
      <c r="F542" s="94">
        <f>271+35</f>
        <v>306</v>
      </c>
      <c r="G542" s="94">
        <f>271+35</f>
        <v>306</v>
      </c>
      <c r="H542" s="94">
        <f>271+35</f>
        <v>306</v>
      </c>
    </row>
    <row r="543" spans="1:8" ht="31.5">
      <c r="A543" s="37" t="s">
        <v>937</v>
      </c>
      <c r="B543" s="43" t="s">
        <v>483</v>
      </c>
      <c r="C543" s="43" t="s">
        <v>51</v>
      </c>
      <c r="D543" s="43" t="s">
        <v>63</v>
      </c>
      <c r="E543" s="43"/>
      <c r="F543" s="94">
        <f>F544</f>
        <v>15</v>
      </c>
      <c r="G543" s="45">
        <f>G544</f>
        <v>15</v>
      </c>
      <c r="H543" s="45">
        <f>H544</f>
        <v>15</v>
      </c>
    </row>
    <row r="544" spans="1:8" ht="47.25">
      <c r="A544" s="40" t="s">
        <v>20</v>
      </c>
      <c r="B544" s="43" t="s">
        <v>483</v>
      </c>
      <c r="C544" s="43" t="s">
        <v>51</v>
      </c>
      <c r="D544" s="43" t="s">
        <v>63</v>
      </c>
      <c r="E544" s="43" t="s">
        <v>100</v>
      </c>
      <c r="F544" s="94">
        <v>15</v>
      </c>
      <c r="G544" s="94">
        <v>15</v>
      </c>
      <c r="H544" s="94">
        <v>15</v>
      </c>
    </row>
    <row r="545" spans="1:22" s="131" customFormat="1" ht="83.25" customHeight="1" hidden="1">
      <c r="A545" s="50" t="s">
        <v>789</v>
      </c>
      <c r="B545" s="46" t="s">
        <v>484</v>
      </c>
      <c r="C545" s="46"/>
      <c r="D545" s="46"/>
      <c r="E545" s="46"/>
      <c r="F545" s="149">
        <f>F549+F546</f>
        <v>0</v>
      </c>
      <c r="G545" s="149">
        <f>G549+G546</f>
        <v>0</v>
      </c>
      <c r="H545" s="149">
        <f>H549+H546</f>
        <v>0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s="131" customFormat="1" ht="31.5" hidden="1">
      <c r="A546" s="124" t="s">
        <v>567</v>
      </c>
      <c r="B546" s="43" t="s">
        <v>555</v>
      </c>
      <c r="C546" s="46"/>
      <c r="D546" s="46"/>
      <c r="E546" s="43"/>
      <c r="F546" s="59">
        <f aca="true" t="shared" si="60" ref="F546:H547">F547</f>
        <v>0</v>
      </c>
      <c r="G546" s="59">
        <f t="shared" si="60"/>
        <v>0</v>
      </c>
      <c r="H546" s="59">
        <f t="shared" si="60"/>
        <v>0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s="131" customFormat="1" ht="47.25" hidden="1">
      <c r="A547" s="40" t="s">
        <v>568</v>
      </c>
      <c r="B547" s="43" t="s">
        <v>569</v>
      </c>
      <c r="C547" s="43" t="s">
        <v>59</v>
      </c>
      <c r="D547" s="43" t="s">
        <v>52</v>
      </c>
      <c r="E547" s="43"/>
      <c r="F547" s="59">
        <f t="shared" si="60"/>
        <v>0</v>
      </c>
      <c r="G547" s="59">
        <f t="shared" si="60"/>
        <v>0</v>
      </c>
      <c r="H547" s="59">
        <f t="shared" si="60"/>
        <v>0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s="131" customFormat="1" ht="15.75" hidden="1">
      <c r="A548" s="40" t="s">
        <v>420</v>
      </c>
      <c r="B548" s="43" t="s">
        <v>569</v>
      </c>
      <c r="C548" s="43" t="s">
        <v>59</v>
      </c>
      <c r="D548" s="43" t="s">
        <v>52</v>
      </c>
      <c r="E548" s="43" t="s">
        <v>419</v>
      </c>
      <c r="F548" s="59">
        <v>0</v>
      </c>
      <c r="G548" s="59">
        <v>0</v>
      </c>
      <c r="H548" s="94">
        <v>0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s="131" customFormat="1" ht="50.25" customHeight="1" hidden="1">
      <c r="A549" s="124" t="s">
        <v>554</v>
      </c>
      <c r="B549" s="43" t="s">
        <v>570</v>
      </c>
      <c r="C549" s="43"/>
      <c r="D549" s="43"/>
      <c r="E549" s="74"/>
      <c r="F549" s="94">
        <f>F550</f>
        <v>0</v>
      </c>
      <c r="G549" s="94"/>
      <c r="H549" s="9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s="131" customFormat="1" ht="34.5" customHeight="1" hidden="1">
      <c r="A550" s="40" t="s">
        <v>556</v>
      </c>
      <c r="B550" s="43" t="s">
        <v>571</v>
      </c>
      <c r="C550" s="43" t="s">
        <v>86</v>
      </c>
      <c r="D550" s="43" t="s">
        <v>54</v>
      </c>
      <c r="E550" s="74"/>
      <c r="F550" s="94">
        <f>F551</f>
        <v>0</v>
      </c>
      <c r="G550" s="94"/>
      <c r="H550" s="9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s="131" customFormat="1" ht="47.25" hidden="1">
      <c r="A551" s="40" t="s">
        <v>221</v>
      </c>
      <c r="B551" s="43" t="s">
        <v>571</v>
      </c>
      <c r="C551" s="43" t="s">
        <v>86</v>
      </c>
      <c r="D551" s="43" t="s">
        <v>54</v>
      </c>
      <c r="E551" s="74" t="s">
        <v>222</v>
      </c>
      <c r="F551" s="94">
        <v>0</v>
      </c>
      <c r="G551" s="94"/>
      <c r="H551" s="9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s="131" customFormat="1" ht="63" hidden="1">
      <c r="A552" s="50" t="s">
        <v>771</v>
      </c>
      <c r="B552" s="46" t="s">
        <v>521</v>
      </c>
      <c r="C552" s="43"/>
      <c r="D552" s="43"/>
      <c r="E552" s="74"/>
      <c r="F552" s="94">
        <f>F553</f>
        <v>0</v>
      </c>
      <c r="G552" s="94">
        <f aca="true" t="shared" si="61" ref="G552:H554">G553</f>
        <v>0</v>
      </c>
      <c r="H552" s="94">
        <f t="shared" si="61"/>
        <v>0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s="131" customFormat="1" ht="78.75" hidden="1">
      <c r="A553" s="40" t="s">
        <v>525</v>
      </c>
      <c r="B553" s="43" t="s">
        <v>523</v>
      </c>
      <c r="C553" s="43"/>
      <c r="D553" s="43"/>
      <c r="E553" s="74"/>
      <c r="F553" s="94">
        <f>F554</f>
        <v>0</v>
      </c>
      <c r="G553" s="94">
        <f t="shared" si="61"/>
        <v>0</v>
      </c>
      <c r="H553" s="94">
        <f t="shared" si="61"/>
        <v>0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s="131" customFormat="1" ht="31.5" hidden="1">
      <c r="A554" s="40" t="s">
        <v>393</v>
      </c>
      <c r="B554" s="43" t="s">
        <v>524</v>
      </c>
      <c r="C554" s="43" t="s">
        <v>81</v>
      </c>
      <c r="D554" s="43" t="s">
        <v>56</v>
      </c>
      <c r="E554" s="74"/>
      <c r="F554" s="94">
        <f>F555</f>
        <v>0</v>
      </c>
      <c r="G554" s="94">
        <f t="shared" si="61"/>
        <v>0</v>
      </c>
      <c r="H554" s="94">
        <f t="shared" si="61"/>
        <v>0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s="131" customFormat="1" ht="15.75" hidden="1">
      <c r="A555" s="165" t="s">
        <v>110</v>
      </c>
      <c r="B555" s="43" t="s">
        <v>524</v>
      </c>
      <c r="C555" s="43" t="s">
        <v>81</v>
      </c>
      <c r="D555" s="43" t="s">
        <v>56</v>
      </c>
      <c r="E555" s="74" t="s">
        <v>111</v>
      </c>
      <c r="F555" s="94">
        <v>0</v>
      </c>
      <c r="G555" s="94">
        <v>0</v>
      </c>
      <c r="H555" s="94">
        <v>0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8" ht="63">
      <c r="A556" s="50" t="s">
        <v>772</v>
      </c>
      <c r="B556" s="46" t="s">
        <v>560</v>
      </c>
      <c r="C556" s="43"/>
      <c r="D556" s="43"/>
      <c r="E556" s="74"/>
      <c r="F556" s="94">
        <f>F557</f>
        <v>100</v>
      </c>
      <c r="G556" s="94">
        <f aca="true" t="shared" si="62" ref="G556:H558">G557</f>
        <v>100</v>
      </c>
      <c r="H556" s="94">
        <f t="shared" si="62"/>
        <v>100</v>
      </c>
    </row>
    <row r="557" spans="1:8" ht="54" customHeight="1">
      <c r="A557" s="40" t="s">
        <v>773</v>
      </c>
      <c r="B557" s="43" t="s">
        <v>561</v>
      </c>
      <c r="C557" s="43"/>
      <c r="D557" s="43"/>
      <c r="E557" s="74"/>
      <c r="F557" s="94">
        <f>F558</f>
        <v>100</v>
      </c>
      <c r="G557" s="94">
        <f t="shared" si="62"/>
        <v>100</v>
      </c>
      <c r="H557" s="94">
        <f t="shared" si="62"/>
        <v>100</v>
      </c>
    </row>
    <row r="558" spans="1:8" ht="47.25">
      <c r="A558" s="40" t="s">
        <v>472</v>
      </c>
      <c r="B558" s="43" t="s">
        <v>563</v>
      </c>
      <c r="C558" s="43" t="s">
        <v>61</v>
      </c>
      <c r="D558" s="43" t="s">
        <v>52</v>
      </c>
      <c r="E558" s="74"/>
      <c r="F558" s="94">
        <f>F559</f>
        <v>100</v>
      </c>
      <c r="G558" s="94">
        <f t="shared" si="62"/>
        <v>100</v>
      </c>
      <c r="H558" s="94">
        <f t="shared" si="62"/>
        <v>100</v>
      </c>
    </row>
    <row r="559" spans="1:8" ht="47.25">
      <c r="A559" s="40" t="s">
        <v>20</v>
      </c>
      <c r="B559" s="43" t="s">
        <v>563</v>
      </c>
      <c r="C559" s="43" t="s">
        <v>61</v>
      </c>
      <c r="D559" s="43" t="s">
        <v>52</v>
      </c>
      <c r="E559" s="74" t="s">
        <v>100</v>
      </c>
      <c r="F559" s="94">
        <v>100</v>
      </c>
      <c r="G559" s="94">
        <v>100</v>
      </c>
      <c r="H559" s="94">
        <v>100</v>
      </c>
    </row>
    <row r="560" spans="1:8" ht="173.25">
      <c r="A560" s="50" t="s">
        <v>799</v>
      </c>
      <c r="B560" s="46" t="s">
        <v>564</v>
      </c>
      <c r="C560" s="43"/>
      <c r="D560" s="43"/>
      <c r="E560" s="74"/>
      <c r="F560" s="149">
        <f>F561+F582</f>
        <v>8121.8</v>
      </c>
      <c r="G560" s="149">
        <f>G561+G582</f>
        <v>5970.8</v>
      </c>
      <c r="H560" s="149">
        <f>H561+H582</f>
        <v>5970.8</v>
      </c>
    </row>
    <row r="561" spans="1:8" ht="126">
      <c r="A561" s="40" t="s">
        <v>824</v>
      </c>
      <c r="B561" s="43" t="s">
        <v>800</v>
      </c>
      <c r="C561" s="43"/>
      <c r="D561" s="43"/>
      <c r="E561" s="74"/>
      <c r="F561" s="94">
        <f>F562+F565+F572+F577</f>
        <v>8101.8</v>
      </c>
      <c r="G561" s="94">
        <f>G562+G565+G572+G577</f>
        <v>5950.8</v>
      </c>
      <c r="H561" s="94">
        <f>H562+H565+H572+H577</f>
        <v>5950.8</v>
      </c>
    </row>
    <row r="562" spans="1:8" ht="78.75">
      <c r="A562" s="40" t="s">
        <v>808</v>
      </c>
      <c r="B562" s="43" t="s">
        <v>807</v>
      </c>
      <c r="C562" s="43"/>
      <c r="D562" s="43"/>
      <c r="E562" s="74"/>
      <c r="F562" s="94">
        <f aca="true" t="shared" si="63" ref="F562:H563">F563</f>
        <v>800</v>
      </c>
      <c r="G562" s="94">
        <f t="shared" si="63"/>
        <v>0</v>
      </c>
      <c r="H562" s="94">
        <f t="shared" si="63"/>
        <v>0</v>
      </c>
    </row>
    <row r="563" spans="1:8" ht="63">
      <c r="A563" s="40" t="s">
        <v>565</v>
      </c>
      <c r="B563" s="43" t="s">
        <v>816</v>
      </c>
      <c r="C563" s="43" t="s">
        <v>54</v>
      </c>
      <c r="D563" s="43" t="s">
        <v>86</v>
      </c>
      <c r="E563" s="74"/>
      <c r="F563" s="94">
        <f t="shared" si="63"/>
        <v>800</v>
      </c>
      <c r="G563" s="94">
        <f t="shared" si="63"/>
        <v>0</v>
      </c>
      <c r="H563" s="94">
        <f t="shared" si="63"/>
        <v>0</v>
      </c>
    </row>
    <row r="564" spans="1:8" ht="47.25">
      <c r="A564" s="40" t="s">
        <v>20</v>
      </c>
      <c r="B564" s="43" t="s">
        <v>816</v>
      </c>
      <c r="C564" s="43" t="s">
        <v>54</v>
      </c>
      <c r="D564" s="43" t="s">
        <v>86</v>
      </c>
      <c r="E564" s="74" t="s">
        <v>100</v>
      </c>
      <c r="F564" s="94">
        <v>800</v>
      </c>
      <c r="G564" s="94">
        <v>0</v>
      </c>
      <c r="H564" s="94">
        <v>0</v>
      </c>
    </row>
    <row r="565" spans="1:8" ht="31.5">
      <c r="A565" s="40" t="s">
        <v>810</v>
      </c>
      <c r="B565" s="43" t="s">
        <v>809</v>
      </c>
      <c r="C565" s="43" t="s">
        <v>54</v>
      </c>
      <c r="D565" s="43" t="s">
        <v>86</v>
      </c>
      <c r="E565" s="159"/>
      <c r="F565" s="47">
        <f>F566+F568+F570</f>
        <v>736</v>
      </c>
      <c r="G565" s="47">
        <f>G566+G568+G570</f>
        <v>736</v>
      </c>
      <c r="H565" s="47">
        <f>H566+H568+H570</f>
        <v>736</v>
      </c>
    </row>
    <row r="566" spans="1:8" ht="31.5">
      <c r="A566" s="124" t="s">
        <v>811</v>
      </c>
      <c r="B566" s="43" t="s">
        <v>815</v>
      </c>
      <c r="C566" s="43" t="s">
        <v>54</v>
      </c>
      <c r="D566" s="43" t="s">
        <v>86</v>
      </c>
      <c r="E566" s="159"/>
      <c r="F566" s="47">
        <f>F567</f>
        <v>736</v>
      </c>
      <c r="G566" s="47">
        <f>G567</f>
        <v>736</v>
      </c>
      <c r="H566" s="47">
        <f>H567</f>
        <v>736</v>
      </c>
    </row>
    <row r="567" spans="1:8" ht="47.25">
      <c r="A567" s="124" t="s">
        <v>20</v>
      </c>
      <c r="B567" s="43" t="s">
        <v>815</v>
      </c>
      <c r="C567" s="43" t="s">
        <v>54</v>
      </c>
      <c r="D567" s="43" t="s">
        <v>86</v>
      </c>
      <c r="E567" s="48">
        <v>240</v>
      </c>
      <c r="F567" s="47">
        <v>736</v>
      </c>
      <c r="G567" s="47">
        <v>736</v>
      </c>
      <c r="H567" s="47">
        <v>736</v>
      </c>
    </row>
    <row r="568" spans="1:8" ht="31.5" hidden="1">
      <c r="A568" s="124" t="s">
        <v>421</v>
      </c>
      <c r="B568" s="43" t="s">
        <v>817</v>
      </c>
      <c r="C568" s="43" t="s">
        <v>54</v>
      </c>
      <c r="D568" s="43" t="s">
        <v>86</v>
      </c>
      <c r="E568" s="48"/>
      <c r="F568" s="47">
        <f>F569</f>
        <v>0</v>
      </c>
      <c r="G568" s="47">
        <f>G569</f>
        <v>0</v>
      </c>
      <c r="H568" s="47">
        <f>H569</f>
        <v>0</v>
      </c>
    </row>
    <row r="569" spans="1:8" ht="47.25" hidden="1">
      <c r="A569" s="124" t="s">
        <v>20</v>
      </c>
      <c r="B569" s="43" t="s">
        <v>817</v>
      </c>
      <c r="C569" s="43" t="s">
        <v>54</v>
      </c>
      <c r="D569" s="43" t="s">
        <v>86</v>
      </c>
      <c r="E569" s="48">
        <v>240</v>
      </c>
      <c r="F569" s="47">
        <v>0</v>
      </c>
      <c r="G569" s="47"/>
      <c r="H569" s="47"/>
    </row>
    <row r="570" spans="1:8" ht="47.25" hidden="1">
      <c r="A570" s="124" t="s">
        <v>422</v>
      </c>
      <c r="B570" s="43" t="s">
        <v>818</v>
      </c>
      <c r="C570" s="43" t="s">
        <v>54</v>
      </c>
      <c r="D570" s="43" t="s">
        <v>86</v>
      </c>
      <c r="E570" s="48"/>
      <c r="F570" s="47">
        <f>F571</f>
        <v>0</v>
      </c>
      <c r="G570" s="47">
        <f>G571</f>
        <v>0</v>
      </c>
      <c r="H570" s="47">
        <f>H571</f>
        <v>0</v>
      </c>
    </row>
    <row r="571" spans="1:8" ht="47.25" hidden="1">
      <c r="A571" s="124" t="s">
        <v>20</v>
      </c>
      <c r="B571" s="43" t="s">
        <v>818</v>
      </c>
      <c r="C571" s="43" t="s">
        <v>54</v>
      </c>
      <c r="D571" s="43" t="s">
        <v>86</v>
      </c>
      <c r="E571" s="48">
        <v>240</v>
      </c>
      <c r="F571" s="47">
        <v>0</v>
      </c>
      <c r="G571" s="47"/>
      <c r="H571" s="47"/>
    </row>
    <row r="572" spans="1:8" ht="78.75">
      <c r="A572" s="40" t="s">
        <v>812</v>
      </c>
      <c r="B572" s="43" t="s">
        <v>814</v>
      </c>
      <c r="C572" s="43"/>
      <c r="D572" s="43"/>
      <c r="E572" s="48"/>
      <c r="F572" s="47">
        <f>F575+F573</f>
        <v>714.8</v>
      </c>
      <c r="G572" s="47">
        <f>G575+G573</f>
        <v>714.8</v>
      </c>
      <c r="H572" s="47">
        <f>H575+H573</f>
        <v>714.8</v>
      </c>
    </row>
    <row r="573" spans="1:8" ht="63">
      <c r="A573" s="40" t="s">
        <v>565</v>
      </c>
      <c r="B573" s="43" t="s">
        <v>823</v>
      </c>
      <c r="C573" s="43" t="s">
        <v>54</v>
      </c>
      <c r="D573" s="43" t="s">
        <v>86</v>
      </c>
      <c r="E573" s="48"/>
      <c r="F573" s="47">
        <f>F574</f>
        <v>139.8</v>
      </c>
      <c r="G573" s="47">
        <f>G574</f>
        <v>139.8</v>
      </c>
      <c r="H573" s="47">
        <f>H574</f>
        <v>139.8</v>
      </c>
    </row>
    <row r="574" spans="1:8" ht="47.25">
      <c r="A574" s="40" t="s">
        <v>20</v>
      </c>
      <c r="B574" s="43" t="s">
        <v>823</v>
      </c>
      <c r="C574" s="43" t="s">
        <v>54</v>
      </c>
      <c r="D574" s="43" t="s">
        <v>86</v>
      </c>
      <c r="E574" s="48">
        <v>240</v>
      </c>
      <c r="F574" s="47">
        <v>139.8</v>
      </c>
      <c r="G574" s="47">
        <v>139.8</v>
      </c>
      <c r="H574" s="47">
        <v>139.8</v>
      </c>
    </row>
    <row r="575" spans="1:8" ht="31.5">
      <c r="A575" s="40" t="s">
        <v>508</v>
      </c>
      <c r="B575" s="43" t="s">
        <v>813</v>
      </c>
      <c r="C575" s="43" t="s">
        <v>54</v>
      </c>
      <c r="D575" s="43" t="s">
        <v>65</v>
      </c>
      <c r="E575" s="48"/>
      <c r="F575" s="47">
        <f>F576</f>
        <v>575</v>
      </c>
      <c r="G575" s="47">
        <f>G576</f>
        <v>575</v>
      </c>
      <c r="H575" s="47">
        <f>H576</f>
        <v>575</v>
      </c>
    </row>
    <row r="576" spans="1:8" ht="47.25">
      <c r="A576" s="40" t="s">
        <v>20</v>
      </c>
      <c r="B576" s="43" t="s">
        <v>813</v>
      </c>
      <c r="C576" s="43" t="s">
        <v>54</v>
      </c>
      <c r="D576" s="43" t="s">
        <v>65</v>
      </c>
      <c r="E576" s="48">
        <v>240</v>
      </c>
      <c r="F576" s="47">
        <v>575</v>
      </c>
      <c r="G576" s="47">
        <v>575</v>
      </c>
      <c r="H576" s="47">
        <v>575</v>
      </c>
    </row>
    <row r="577" spans="1:8" ht="63">
      <c r="A577" s="40" t="s">
        <v>982</v>
      </c>
      <c r="B577" s="43" t="s">
        <v>819</v>
      </c>
      <c r="C577" s="159"/>
      <c r="D577" s="159"/>
      <c r="E577" s="159"/>
      <c r="F577" s="47">
        <f>F578+F580</f>
        <v>5851</v>
      </c>
      <c r="G577" s="47">
        <f>G578+G580</f>
        <v>4500</v>
      </c>
      <c r="H577" s="47">
        <f>H578+H580</f>
        <v>4500</v>
      </c>
    </row>
    <row r="578" spans="1:8" ht="31.5">
      <c r="A578" s="124" t="s">
        <v>821</v>
      </c>
      <c r="B578" s="43" t="s">
        <v>820</v>
      </c>
      <c r="C578" s="43" t="s">
        <v>54</v>
      </c>
      <c r="D578" s="43" t="s">
        <v>86</v>
      </c>
      <c r="E578" s="159"/>
      <c r="F578" s="47">
        <f>F579</f>
        <v>4874.8</v>
      </c>
      <c r="G578" s="47">
        <f>G579</f>
        <v>3523.8</v>
      </c>
      <c r="H578" s="47">
        <f>H579</f>
        <v>3523.8</v>
      </c>
    </row>
    <row r="579" spans="1:8" ht="15.75">
      <c r="A579" s="40" t="s">
        <v>110</v>
      </c>
      <c r="B579" s="43" t="s">
        <v>820</v>
      </c>
      <c r="C579" s="43" t="s">
        <v>54</v>
      </c>
      <c r="D579" s="43" t="s">
        <v>86</v>
      </c>
      <c r="E579" s="159">
        <v>610</v>
      </c>
      <c r="F579" s="47">
        <v>4874.8</v>
      </c>
      <c r="G579" s="47">
        <f>4500-976.2</f>
        <v>3523.8</v>
      </c>
      <c r="H579" s="47">
        <f>4500-976.2</f>
        <v>3523.8</v>
      </c>
    </row>
    <row r="580" spans="1:8" ht="47.25">
      <c r="A580" s="40" t="s">
        <v>462</v>
      </c>
      <c r="B580" s="43" t="s">
        <v>822</v>
      </c>
      <c r="C580" s="43" t="s">
        <v>54</v>
      </c>
      <c r="D580" s="43" t="s">
        <v>86</v>
      </c>
      <c r="E580" s="159"/>
      <c r="F580" s="47">
        <f>F581</f>
        <v>976.2</v>
      </c>
      <c r="G580" s="47">
        <f>G581</f>
        <v>976.2</v>
      </c>
      <c r="H580" s="47">
        <f>H581</f>
        <v>976.2</v>
      </c>
    </row>
    <row r="581" spans="1:8" ht="15.75">
      <c r="A581" s="40" t="s">
        <v>110</v>
      </c>
      <c r="B581" s="43" t="s">
        <v>822</v>
      </c>
      <c r="C581" s="43" t="s">
        <v>54</v>
      </c>
      <c r="D581" s="43" t="s">
        <v>86</v>
      </c>
      <c r="E581" s="159">
        <v>610</v>
      </c>
      <c r="F581" s="47">
        <v>976.2</v>
      </c>
      <c r="G581" s="47">
        <v>976.2</v>
      </c>
      <c r="H581" s="47">
        <v>976.2</v>
      </c>
    </row>
    <row r="582" spans="1:8" ht="63">
      <c r="A582" s="124" t="s">
        <v>804</v>
      </c>
      <c r="B582" s="43" t="s">
        <v>806</v>
      </c>
      <c r="C582" s="159"/>
      <c r="D582" s="159"/>
      <c r="E582" s="159"/>
      <c r="F582" s="47">
        <f>F583</f>
        <v>20</v>
      </c>
      <c r="G582" s="47">
        <f aca="true" t="shared" si="64" ref="G582:H584">G583</f>
        <v>20</v>
      </c>
      <c r="H582" s="47">
        <f>H583</f>
        <v>20</v>
      </c>
    </row>
    <row r="583" spans="1:8" ht="47.25">
      <c r="A583" s="124" t="s">
        <v>805</v>
      </c>
      <c r="B583" s="43" t="s">
        <v>801</v>
      </c>
      <c r="C583" s="159"/>
      <c r="D583" s="159"/>
      <c r="E583" s="160"/>
      <c r="F583" s="47">
        <f>F584</f>
        <v>20</v>
      </c>
      <c r="G583" s="47">
        <f t="shared" si="64"/>
        <v>20</v>
      </c>
      <c r="H583" s="47">
        <f>H584</f>
        <v>20</v>
      </c>
    </row>
    <row r="584" spans="1:8" ht="31.5">
      <c r="A584" s="124" t="s">
        <v>803</v>
      </c>
      <c r="B584" s="43" t="s">
        <v>802</v>
      </c>
      <c r="C584" s="43" t="s">
        <v>54</v>
      </c>
      <c r="D584" s="43" t="s">
        <v>86</v>
      </c>
      <c r="E584" s="74"/>
      <c r="F584" s="94">
        <f>F585</f>
        <v>20</v>
      </c>
      <c r="G584" s="94">
        <f t="shared" si="64"/>
        <v>20</v>
      </c>
      <c r="H584" s="94">
        <f t="shared" si="64"/>
        <v>20</v>
      </c>
    </row>
    <row r="585" spans="1:8" ht="47.25">
      <c r="A585" s="40" t="s">
        <v>20</v>
      </c>
      <c r="B585" s="43" t="s">
        <v>802</v>
      </c>
      <c r="C585" s="43" t="s">
        <v>54</v>
      </c>
      <c r="D585" s="43" t="s">
        <v>86</v>
      </c>
      <c r="E585" s="74" t="s">
        <v>100</v>
      </c>
      <c r="F585" s="94">
        <v>20</v>
      </c>
      <c r="G585" s="94">
        <v>20</v>
      </c>
      <c r="H585" s="94">
        <v>20</v>
      </c>
    </row>
    <row r="586" spans="1:8" ht="78.75">
      <c r="A586" s="50" t="s">
        <v>687</v>
      </c>
      <c r="B586" s="46" t="s">
        <v>566</v>
      </c>
      <c r="C586" s="43"/>
      <c r="D586" s="43"/>
      <c r="E586" s="74"/>
      <c r="F586" s="94">
        <f>F587+F662+F611+F621+F632+F641+F652</f>
        <v>114779.00000000001</v>
      </c>
      <c r="G586" s="94">
        <f>G587+G662+G611+G621+G632+G641+G652</f>
        <v>117963.4</v>
      </c>
      <c r="H586" s="94">
        <f>H587+H662+H611+H621+H632+H641+H652</f>
        <v>111133.2</v>
      </c>
    </row>
    <row r="587" spans="1:8" ht="47.25">
      <c r="A587" s="40" t="s">
        <v>688</v>
      </c>
      <c r="B587" s="43" t="s">
        <v>578</v>
      </c>
      <c r="C587" s="43"/>
      <c r="D587" s="43"/>
      <c r="E587" s="74"/>
      <c r="F587" s="94">
        <f>F588</f>
        <v>69374.1</v>
      </c>
      <c r="G587" s="94">
        <f>G588</f>
        <v>72549.1</v>
      </c>
      <c r="H587" s="94">
        <f>H588</f>
        <v>68058.5</v>
      </c>
    </row>
    <row r="588" spans="1:8" ht="47.25">
      <c r="A588" s="40" t="s">
        <v>689</v>
      </c>
      <c r="B588" s="43" t="s">
        <v>582</v>
      </c>
      <c r="C588" s="43"/>
      <c r="D588" s="43"/>
      <c r="E588" s="74"/>
      <c r="F588" s="94">
        <f>F591+F599+F603+F605+F608+F595+F589+F601+F597</f>
        <v>69374.1</v>
      </c>
      <c r="G588" s="94">
        <f>G591+G599+G603+G605+G608+G595+G589+G601+G597</f>
        <v>72549.1</v>
      </c>
      <c r="H588" s="94">
        <f>H591+H599+H603+H605+H608+H595+H589+H601+H597</f>
        <v>68058.5</v>
      </c>
    </row>
    <row r="589" spans="1:8" ht="31.5">
      <c r="A589" s="40" t="s">
        <v>95</v>
      </c>
      <c r="B589" s="43" t="s">
        <v>581</v>
      </c>
      <c r="C589" s="43" t="s">
        <v>51</v>
      </c>
      <c r="D589" s="43" t="s">
        <v>52</v>
      </c>
      <c r="E589" s="74"/>
      <c r="F589" s="45">
        <f>F590</f>
        <v>1674.2</v>
      </c>
      <c r="G589" s="45">
        <f>G590</f>
        <v>1674.2</v>
      </c>
      <c r="H589" s="45">
        <f>H590</f>
        <v>1674.2</v>
      </c>
    </row>
    <row r="590" spans="1:8" ht="31.5">
      <c r="A590" s="37" t="s">
        <v>96</v>
      </c>
      <c r="B590" s="43" t="s">
        <v>581</v>
      </c>
      <c r="C590" s="43" t="s">
        <v>51</v>
      </c>
      <c r="D590" s="43" t="s">
        <v>52</v>
      </c>
      <c r="E590" s="74" t="s">
        <v>97</v>
      </c>
      <c r="F590" s="94">
        <f>2160-485.8</f>
        <v>1674.2</v>
      </c>
      <c r="G590" s="94">
        <f>2160-485.8</f>
        <v>1674.2</v>
      </c>
      <c r="H590" s="94">
        <f>2160-485.8</f>
        <v>1674.2</v>
      </c>
    </row>
    <row r="591" spans="1:8" ht="31.5">
      <c r="A591" s="40" t="s">
        <v>95</v>
      </c>
      <c r="B591" s="43" t="s">
        <v>581</v>
      </c>
      <c r="C591" s="43" t="s">
        <v>51</v>
      </c>
      <c r="D591" s="43" t="s">
        <v>56</v>
      </c>
      <c r="E591" s="74"/>
      <c r="F591" s="45">
        <f>F592+F593+F594</f>
        <v>46859.6</v>
      </c>
      <c r="G591" s="45">
        <f>G592+G593+G594</f>
        <v>49839.200000000004</v>
      </c>
      <c r="H591" s="45">
        <f>H592+H593+H594</f>
        <v>45155</v>
      </c>
    </row>
    <row r="592" spans="1:8" ht="31.5">
      <c r="A592" s="37" t="s">
        <v>96</v>
      </c>
      <c r="B592" s="43" t="s">
        <v>581</v>
      </c>
      <c r="C592" s="43" t="s">
        <v>51</v>
      </c>
      <c r="D592" s="43" t="s">
        <v>56</v>
      </c>
      <c r="E592" s="74" t="s">
        <v>97</v>
      </c>
      <c r="F592" s="94">
        <v>34180.9</v>
      </c>
      <c r="G592" s="94">
        <f>52214.3-18701.2</f>
        <v>33513.100000000006</v>
      </c>
      <c r="H592" s="94">
        <f>52214.3-18882.4</f>
        <v>33331.9</v>
      </c>
    </row>
    <row r="593" spans="1:8" ht="47.25">
      <c r="A593" s="40" t="s">
        <v>20</v>
      </c>
      <c r="B593" s="43" t="s">
        <v>581</v>
      </c>
      <c r="C593" s="43" t="s">
        <v>51</v>
      </c>
      <c r="D593" s="43" t="s">
        <v>56</v>
      </c>
      <c r="E593" s="74" t="s">
        <v>100</v>
      </c>
      <c r="F593" s="94">
        <v>12328.699999999999</v>
      </c>
      <c r="G593" s="59">
        <v>15976.099999999999</v>
      </c>
      <c r="H593" s="59">
        <v>11473.099999999999</v>
      </c>
    </row>
    <row r="594" spans="1:8" ht="15.75">
      <c r="A594" s="40" t="s">
        <v>21</v>
      </c>
      <c r="B594" s="43" t="s">
        <v>581</v>
      </c>
      <c r="C594" s="43" t="s">
        <v>51</v>
      </c>
      <c r="D594" s="43" t="s">
        <v>56</v>
      </c>
      <c r="E594" s="74" t="s">
        <v>101</v>
      </c>
      <c r="F594" s="94">
        <v>350</v>
      </c>
      <c r="G594" s="94">
        <v>350</v>
      </c>
      <c r="H594" s="94">
        <v>350</v>
      </c>
    </row>
    <row r="595" spans="1:8" ht="31.5">
      <c r="A595" s="40" t="s">
        <v>95</v>
      </c>
      <c r="B595" s="43" t="s">
        <v>581</v>
      </c>
      <c r="C595" s="43" t="s">
        <v>59</v>
      </c>
      <c r="D595" s="43" t="s">
        <v>69</v>
      </c>
      <c r="E595" s="43"/>
      <c r="F595" s="45">
        <f>F596</f>
        <v>100</v>
      </c>
      <c r="G595" s="45">
        <f>G596</f>
        <v>100</v>
      </c>
      <c r="H595" s="45">
        <f>H596</f>
        <v>100</v>
      </c>
    </row>
    <row r="596" spans="1:8" ht="47.25">
      <c r="A596" s="40" t="s">
        <v>20</v>
      </c>
      <c r="B596" s="43" t="s">
        <v>581</v>
      </c>
      <c r="C596" s="43" t="s">
        <v>59</v>
      </c>
      <c r="D596" s="43" t="s">
        <v>69</v>
      </c>
      <c r="E596" s="43" t="s">
        <v>100</v>
      </c>
      <c r="F596" s="94">
        <v>100</v>
      </c>
      <c r="G596" s="94">
        <v>100</v>
      </c>
      <c r="H596" s="94">
        <v>100</v>
      </c>
    </row>
    <row r="597" spans="1:8" ht="69.75" customHeight="1">
      <c r="A597" s="40" t="s">
        <v>960</v>
      </c>
      <c r="B597" s="43" t="s">
        <v>891</v>
      </c>
      <c r="C597" s="43" t="s">
        <v>52</v>
      </c>
      <c r="D597" s="43" t="s">
        <v>54</v>
      </c>
      <c r="E597" s="43"/>
      <c r="F597" s="94">
        <f>F598</f>
        <v>349.29999999999995</v>
      </c>
      <c r="G597" s="94">
        <f>G598</f>
        <v>374.2</v>
      </c>
      <c r="H597" s="94">
        <f>H598</f>
        <v>386.4</v>
      </c>
    </row>
    <row r="598" spans="1:8" ht="31.5">
      <c r="A598" s="40" t="s">
        <v>96</v>
      </c>
      <c r="B598" s="43" t="s">
        <v>891</v>
      </c>
      <c r="C598" s="43" t="s">
        <v>52</v>
      </c>
      <c r="D598" s="43" t="s">
        <v>54</v>
      </c>
      <c r="E598" s="43" t="s">
        <v>97</v>
      </c>
      <c r="F598" s="94">
        <v>349.29999999999995</v>
      </c>
      <c r="G598" s="94">
        <f>359.4+14.8</f>
        <v>374.2</v>
      </c>
      <c r="H598" s="94">
        <f>359.4+27</f>
        <v>386.4</v>
      </c>
    </row>
    <row r="599" spans="1:8" ht="220.5" hidden="1">
      <c r="A599" s="40" t="s">
        <v>550</v>
      </c>
      <c r="B599" s="43" t="s">
        <v>619</v>
      </c>
      <c r="C599" s="43" t="s">
        <v>51</v>
      </c>
      <c r="D599" s="43" t="s">
        <v>56</v>
      </c>
      <c r="E599" s="43"/>
      <c r="F599" s="45">
        <f>F600</f>
        <v>0</v>
      </c>
      <c r="G599" s="45">
        <f>G600</f>
        <v>0</v>
      </c>
      <c r="H599" s="45">
        <f>H600</f>
        <v>0</v>
      </c>
    </row>
    <row r="600" spans="1:8" ht="31.5" hidden="1">
      <c r="A600" s="107" t="s">
        <v>96</v>
      </c>
      <c r="B600" s="43" t="s">
        <v>619</v>
      </c>
      <c r="C600" s="43" t="s">
        <v>51</v>
      </c>
      <c r="D600" s="43" t="s">
        <v>56</v>
      </c>
      <c r="E600" s="43" t="s">
        <v>97</v>
      </c>
      <c r="F600" s="45"/>
      <c r="G600" s="45"/>
      <c r="H600" s="45"/>
    </row>
    <row r="601" spans="1:8" ht="47.25">
      <c r="A601" s="40" t="s">
        <v>462</v>
      </c>
      <c r="B601" s="43" t="s">
        <v>583</v>
      </c>
      <c r="C601" s="43" t="s">
        <v>51</v>
      </c>
      <c r="D601" s="43" t="s">
        <v>52</v>
      </c>
      <c r="E601" s="43"/>
      <c r="F601" s="94">
        <f>F602</f>
        <v>485.8</v>
      </c>
      <c r="G601" s="94">
        <f>G602</f>
        <v>485.8</v>
      </c>
      <c r="H601" s="94">
        <f>H602</f>
        <v>485.8</v>
      </c>
    </row>
    <row r="602" spans="1:8" ht="31.5">
      <c r="A602" s="37" t="s">
        <v>96</v>
      </c>
      <c r="B602" s="43" t="s">
        <v>583</v>
      </c>
      <c r="C602" s="43" t="s">
        <v>51</v>
      </c>
      <c r="D602" s="43" t="s">
        <v>52</v>
      </c>
      <c r="E602" s="43" t="s">
        <v>97</v>
      </c>
      <c r="F602" s="94">
        <v>485.8</v>
      </c>
      <c r="G602" s="94">
        <v>485.8</v>
      </c>
      <c r="H602" s="94">
        <v>485.8</v>
      </c>
    </row>
    <row r="603" spans="1:8" ht="47.25">
      <c r="A603" s="40" t="s">
        <v>462</v>
      </c>
      <c r="B603" s="43" t="s">
        <v>583</v>
      </c>
      <c r="C603" s="43" t="s">
        <v>51</v>
      </c>
      <c r="D603" s="43" t="s">
        <v>56</v>
      </c>
      <c r="E603" s="43"/>
      <c r="F603" s="94">
        <f>F604</f>
        <v>18530.5</v>
      </c>
      <c r="G603" s="94">
        <f>G604</f>
        <v>18701.2</v>
      </c>
      <c r="H603" s="94">
        <f>H604</f>
        <v>18882.4</v>
      </c>
    </row>
    <row r="604" spans="1:8" ht="31.5">
      <c r="A604" s="37" t="s">
        <v>96</v>
      </c>
      <c r="B604" s="43" t="s">
        <v>583</v>
      </c>
      <c r="C604" s="43" t="s">
        <v>51</v>
      </c>
      <c r="D604" s="43" t="s">
        <v>56</v>
      </c>
      <c r="E604" s="43" t="s">
        <v>97</v>
      </c>
      <c r="F604" s="94">
        <f>18330.5+200</f>
        <v>18530.5</v>
      </c>
      <c r="G604" s="94">
        <f>18501.2+200</f>
        <v>18701.2</v>
      </c>
      <c r="H604" s="94">
        <f>18682.4+200</f>
        <v>18882.4</v>
      </c>
    </row>
    <row r="605" spans="1:8" ht="126.75" customHeight="1">
      <c r="A605" s="156" t="s">
        <v>213</v>
      </c>
      <c r="B605" s="43" t="s">
        <v>584</v>
      </c>
      <c r="C605" s="43" t="s">
        <v>51</v>
      </c>
      <c r="D605" s="43" t="s">
        <v>56</v>
      </c>
      <c r="E605" s="43"/>
      <c r="F605" s="94">
        <f>F606+F607</f>
        <v>289.2</v>
      </c>
      <c r="G605" s="45">
        <f>G606+G607</f>
        <v>289.3</v>
      </c>
      <c r="H605" s="45">
        <f>H606+H607</f>
        <v>289.5</v>
      </c>
    </row>
    <row r="606" spans="1:8" ht="31.5">
      <c r="A606" s="37" t="s">
        <v>96</v>
      </c>
      <c r="B606" s="43" t="s">
        <v>584</v>
      </c>
      <c r="C606" s="43" t="s">
        <v>51</v>
      </c>
      <c r="D606" s="43" t="s">
        <v>56</v>
      </c>
      <c r="E606" s="43" t="s">
        <v>97</v>
      </c>
      <c r="F606" s="94">
        <v>30</v>
      </c>
      <c r="G606" s="94">
        <v>30</v>
      </c>
      <c r="H606" s="94">
        <v>30</v>
      </c>
    </row>
    <row r="607" spans="1:8" ht="47.25">
      <c r="A607" s="40" t="s">
        <v>20</v>
      </c>
      <c r="B607" s="43" t="s">
        <v>584</v>
      </c>
      <c r="C607" s="43" t="s">
        <v>51</v>
      </c>
      <c r="D607" s="43" t="s">
        <v>56</v>
      </c>
      <c r="E607" s="43" t="s">
        <v>100</v>
      </c>
      <c r="F607" s="94">
        <v>259.2</v>
      </c>
      <c r="G607" s="94">
        <v>259.3</v>
      </c>
      <c r="H607" s="94">
        <v>259.5</v>
      </c>
    </row>
    <row r="608" spans="1:8" ht="31.5">
      <c r="A608" s="156" t="s">
        <v>428</v>
      </c>
      <c r="B608" s="43" t="s">
        <v>585</v>
      </c>
      <c r="C608" s="43" t="s">
        <v>51</v>
      </c>
      <c r="D608" s="43" t="s">
        <v>56</v>
      </c>
      <c r="E608" s="43"/>
      <c r="F608" s="45">
        <f>F609+F610</f>
        <v>1085.5</v>
      </c>
      <c r="G608" s="45">
        <f>G609+G610</f>
        <v>1085.2</v>
      </c>
      <c r="H608" s="45">
        <f>H609+H610</f>
        <v>1085.2</v>
      </c>
    </row>
    <row r="609" spans="1:8" ht="31.5">
      <c r="A609" s="37" t="s">
        <v>96</v>
      </c>
      <c r="B609" s="43" t="s">
        <v>585</v>
      </c>
      <c r="C609" s="43" t="s">
        <v>51</v>
      </c>
      <c r="D609" s="43" t="s">
        <v>56</v>
      </c>
      <c r="E609" s="43" t="s">
        <v>97</v>
      </c>
      <c r="F609" s="94">
        <f>539.1+160.4+75.5+23.6+2.2+20.2</f>
        <v>821.0000000000001</v>
      </c>
      <c r="G609" s="94">
        <f>799.6+20.2</f>
        <v>819.8000000000001</v>
      </c>
      <c r="H609" s="94">
        <f>799.6+20.2</f>
        <v>819.8000000000001</v>
      </c>
    </row>
    <row r="610" spans="1:8" ht="47.25">
      <c r="A610" s="40" t="s">
        <v>20</v>
      </c>
      <c r="B610" s="43" t="s">
        <v>585</v>
      </c>
      <c r="C610" s="43" t="s">
        <v>51</v>
      </c>
      <c r="D610" s="43" t="s">
        <v>56</v>
      </c>
      <c r="E610" s="43" t="s">
        <v>100</v>
      </c>
      <c r="F610" s="94">
        <f>261.8+2.7</f>
        <v>264.5</v>
      </c>
      <c r="G610" s="94">
        <f>262.7+2.7</f>
        <v>265.4</v>
      </c>
      <c r="H610" s="94">
        <f>262.7+2.7</f>
        <v>265.4</v>
      </c>
    </row>
    <row r="611" spans="1:8" ht="47.25">
      <c r="A611" s="40" t="s">
        <v>690</v>
      </c>
      <c r="B611" s="43" t="s">
        <v>579</v>
      </c>
      <c r="C611" s="43"/>
      <c r="D611" s="43"/>
      <c r="E611" s="43"/>
      <c r="F611" s="94">
        <f>F612</f>
        <v>2107</v>
      </c>
      <c r="G611" s="94">
        <f>G612</f>
        <v>2050</v>
      </c>
      <c r="H611" s="94">
        <f>H612</f>
        <v>1900</v>
      </c>
    </row>
    <row r="612" spans="1:8" ht="47.25">
      <c r="A612" s="40" t="s">
        <v>691</v>
      </c>
      <c r="B612" s="43" t="s">
        <v>586</v>
      </c>
      <c r="C612" s="43"/>
      <c r="D612" s="43"/>
      <c r="E612" s="74"/>
      <c r="F612" s="94">
        <f>F613+F617+F619</f>
        <v>2107</v>
      </c>
      <c r="G612" s="94">
        <f>G613+G617+G619</f>
        <v>2050</v>
      </c>
      <c r="H612" s="94">
        <f>H613+H617+H619</f>
        <v>1900</v>
      </c>
    </row>
    <row r="613" spans="1:8" ht="31.5">
      <c r="A613" s="40" t="s">
        <v>99</v>
      </c>
      <c r="B613" s="42" t="s">
        <v>591</v>
      </c>
      <c r="C613" s="43" t="s">
        <v>51</v>
      </c>
      <c r="D613" s="43" t="s">
        <v>54</v>
      </c>
      <c r="E613" s="43"/>
      <c r="F613" s="45">
        <f>F614+F615+F616</f>
        <v>1749.5</v>
      </c>
      <c r="G613" s="45">
        <f>G614+G615+G616</f>
        <v>1692.5</v>
      </c>
      <c r="H613" s="45">
        <f>H614+H615+H616</f>
        <v>1542.5</v>
      </c>
    </row>
    <row r="614" spans="1:8" ht="31.5">
      <c r="A614" s="40" t="s">
        <v>96</v>
      </c>
      <c r="B614" s="42" t="s">
        <v>591</v>
      </c>
      <c r="C614" s="43" t="s">
        <v>51</v>
      </c>
      <c r="D614" s="43" t="s">
        <v>54</v>
      </c>
      <c r="E614" s="43" t="s">
        <v>97</v>
      </c>
      <c r="F614" s="45">
        <f>1748-347.5</f>
        <v>1400.5</v>
      </c>
      <c r="G614" s="45">
        <f>1748-347.5</f>
        <v>1400.5</v>
      </c>
      <c r="H614" s="45">
        <f>1748-347.5</f>
        <v>1400.5</v>
      </c>
    </row>
    <row r="615" spans="1:8" ht="47.25">
      <c r="A615" s="40" t="s">
        <v>20</v>
      </c>
      <c r="B615" s="42" t="s">
        <v>591</v>
      </c>
      <c r="C615" s="43" t="s">
        <v>51</v>
      </c>
      <c r="D615" s="43" t="s">
        <v>54</v>
      </c>
      <c r="E615" s="43" t="s">
        <v>100</v>
      </c>
      <c r="F615" s="45">
        <v>345</v>
      </c>
      <c r="G615" s="45">
        <v>292</v>
      </c>
      <c r="H615" s="45">
        <f>292-150</f>
        <v>142</v>
      </c>
    </row>
    <row r="616" spans="1:8" ht="15.75">
      <c r="A616" s="40" t="s">
        <v>21</v>
      </c>
      <c r="B616" s="42" t="s">
        <v>591</v>
      </c>
      <c r="C616" s="43" t="s">
        <v>51</v>
      </c>
      <c r="D616" s="43" t="s">
        <v>54</v>
      </c>
      <c r="E616" s="43" t="s">
        <v>101</v>
      </c>
      <c r="F616" s="45">
        <v>4</v>
      </c>
      <c r="G616" s="45">
        <v>0</v>
      </c>
      <c r="H616" s="45">
        <v>0</v>
      </c>
    </row>
    <row r="617" spans="1:8" ht="31.5">
      <c r="A617" s="40" t="s">
        <v>99</v>
      </c>
      <c r="B617" s="42" t="s">
        <v>591</v>
      </c>
      <c r="C617" s="43" t="s">
        <v>59</v>
      </c>
      <c r="D617" s="43" t="s">
        <v>69</v>
      </c>
      <c r="E617" s="43"/>
      <c r="F617" s="94">
        <f>F618</f>
        <v>10</v>
      </c>
      <c r="G617" s="94">
        <f>G618</f>
        <v>10</v>
      </c>
      <c r="H617" s="94">
        <f>H618</f>
        <v>10</v>
      </c>
    </row>
    <row r="618" spans="1:8" ht="47.25">
      <c r="A618" s="40" t="s">
        <v>20</v>
      </c>
      <c r="B618" s="42" t="s">
        <v>591</v>
      </c>
      <c r="C618" s="43" t="s">
        <v>59</v>
      </c>
      <c r="D618" s="43" t="s">
        <v>69</v>
      </c>
      <c r="E618" s="43" t="s">
        <v>100</v>
      </c>
      <c r="F618" s="94">
        <v>10</v>
      </c>
      <c r="G618" s="94">
        <v>10</v>
      </c>
      <c r="H618" s="94">
        <v>10</v>
      </c>
    </row>
    <row r="619" spans="1:8" ht="47.25">
      <c r="A619" s="40" t="s">
        <v>462</v>
      </c>
      <c r="B619" s="43" t="s">
        <v>592</v>
      </c>
      <c r="C619" s="43" t="s">
        <v>51</v>
      </c>
      <c r="D619" s="43" t="s">
        <v>54</v>
      </c>
      <c r="E619" s="43"/>
      <c r="F619" s="94">
        <f>F620</f>
        <v>347.5</v>
      </c>
      <c r="G619" s="94">
        <f>G620</f>
        <v>347.5</v>
      </c>
      <c r="H619" s="94">
        <f>H620</f>
        <v>347.5</v>
      </c>
    </row>
    <row r="620" spans="1:8" ht="31.5">
      <c r="A620" s="37" t="s">
        <v>96</v>
      </c>
      <c r="B620" s="43" t="s">
        <v>592</v>
      </c>
      <c r="C620" s="43" t="s">
        <v>51</v>
      </c>
      <c r="D620" s="43" t="s">
        <v>54</v>
      </c>
      <c r="E620" s="43" t="s">
        <v>97</v>
      </c>
      <c r="F620" s="59">
        <f>547.5-200</f>
        <v>347.5</v>
      </c>
      <c r="G620" s="59">
        <f>547.5-200</f>
        <v>347.5</v>
      </c>
      <c r="H620" s="59">
        <f>547.5-200</f>
        <v>347.5</v>
      </c>
    </row>
    <row r="621" spans="1:8" ht="47.25">
      <c r="A621" s="40" t="s">
        <v>692</v>
      </c>
      <c r="B621" s="43" t="s">
        <v>580</v>
      </c>
      <c r="C621" s="43"/>
      <c r="D621" s="43"/>
      <c r="E621" s="74"/>
      <c r="F621" s="94">
        <f>F622</f>
        <v>4566.099999999999</v>
      </c>
      <c r="G621" s="94">
        <f>G622</f>
        <v>4136.9</v>
      </c>
      <c r="H621" s="94">
        <f>H622</f>
        <v>4145.099999999999</v>
      </c>
    </row>
    <row r="622" spans="1:8" ht="47.25">
      <c r="A622" s="40" t="s">
        <v>693</v>
      </c>
      <c r="B622" s="43" t="s">
        <v>587</v>
      </c>
      <c r="C622" s="43"/>
      <c r="D622" s="43"/>
      <c r="E622" s="74"/>
      <c r="F622" s="94">
        <f>F623+F627+F629</f>
        <v>4566.099999999999</v>
      </c>
      <c r="G622" s="94">
        <f>G623+G627+G629</f>
        <v>4136.9</v>
      </c>
      <c r="H622" s="94">
        <f>H623+H627+H629</f>
        <v>4145.099999999999</v>
      </c>
    </row>
    <row r="623" spans="1:8" ht="31.5">
      <c r="A623" s="37" t="s">
        <v>694</v>
      </c>
      <c r="B623" s="43" t="s">
        <v>588</v>
      </c>
      <c r="C623" s="43" t="s">
        <v>51</v>
      </c>
      <c r="D623" s="43" t="s">
        <v>63</v>
      </c>
      <c r="E623" s="43"/>
      <c r="F623" s="94">
        <f>F625+F624+F626</f>
        <v>600</v>
      </c>
      <c r="G623" s="94">
        <f>G625+G624+G626</f>
        <v>600</v>
      </c>
      <c r="H623" s="94">
        <f>H625+H624+H626</f>
        <v>600</v>
      </c>
    </row>
    <row r="624" spans="1:8" ht="31.5">
      <c r="A624" s="37" t="s">
        <v>229</v>
      </c>
      <c r="B624" s="43" t="s">
        <v>588</v>
      </c>
      <c r="C624" s="43" t="s">
        <v>51</v>
      </c>
      <c r="D624" s="43" t="s">
        <v>63</v>
      </c>
      <c r="E624" s="43" t="s">
        <v>230</v>
      </c>
      <c r="F624" s="94">
        <f>156</f>
        <v>156</v>
      </c>
      <c r="G624" s="94">
        <f>156</f>
        <v>156</v>
      </c>
      <c r="H624" s="94">
        <f>156</f>
        <v>156</v>
      </c>
    </row>
    <row r="625" spans="1:8" ht="47.25">
      <c r="A625" s="40" t="s">
        <v>20</v>
      </c>
      <c r="B625" s="43" t="s">
        <v>588</v>
      </c>
      <c r="C625" s="43" t="s">
        <v>51</v>
      </c>
      <c r="D625" s="43" t="s">
        <v>63</v>
      </c>
      <c r="E625" s="43" t="s">
        <v>100</v>
      </c>
      <c r="F625" s="94">
        <v>361</v>
      </c>
      <c r="G625" s="94">
        <v>361</v>
      </c>
      <c r="H625" s="94">
        <v>361</v>
      </c>
    </row>
    <row r="626" spans="1:8" ht="15.75">
      <c r="A626" s="40" t="s">
        <v>21</v>
      </c>
      <c r="B626" s="43" t="s">
        <v>588</v>
      </c>
      <c r="C626" s="43" t="s">
        <v>51</v>
      </c>
      <c r="D626" s="43" t="s">
        <v>63</v>
      </c>
      <c r="E626" s="43" t="s">
        <v>101</v>
      </c>
      <c r="F626" s="94">
        <v>83</v>
      </c>
      <c r="G626" s="94">
        <v>83</v>
      </c>
      <c r="H626" s="94">
        <v>83</v>
      </c>
    </row>
    <row r="627" spans="1:8" ht="47.25">
      <c r="A627" s="40" t="s">
        <v>462</v>
      </c>
      <c r="B627" s="43" t="s">
        <v>589</v>
      </c>
      <c r="C627" s="43" t="s">
        <v>51</v>
      </c>
      <c r="D627" s="43" t="s">
        <v>63</v>
      </c>
      <c r="E627" s="43"/>
      <c r="F627" s="94">
        <f>F628</f>
        <v>94.3</v>
      </c>
      <c r="G627" s="94">
        <f>G628</f>
        <v>102.2</v>
      </c>
      <c r="H627" s="94">
        <f>H628</f>
        <v>110.4</v>
      </c>
    </row>
    <row r="628" spans="1:8" ht="31.5">
      <c r="A628" s="37" t="s">
        <v>229</v>
      </c>
      <c r="B628" s="43" t="s">
        <v>589</v>
      </c>
      <c r="C628" s="43" t="s">
        <v>51</v>
      </c>
      <c r="D628" s="43" t="s">
        <v>63</v>
      </c>
      <c r="E628" s="43" t="s">
        <v>230</v>
      </c>
      <c r="F628" s="94">
        <v>94.3</v>
      </c>
      <c r="G628" s="94">
        <v>102.2</v>
      </c>
      <c r="H628" s="94">
        <v>110.4</v>
      </c>
    </row>
    <row r="629" spans="1:8" ht="141.75">
      <c r="A629" s="37" t="s">
        <v>144</v>
      </c>
      <c r="B629" s="43" t="s">
        <v>590</v>
      </c>
      <c r="C629" s="43" t="s">
        <v>51</v>
      </c>
      <c r="D629" s="43" t="s">
        <v>63</v>
      </c>
      <c r="E629" s="43"/>
      <c r="F629" s="94">
        <f>F630+F631</f>
        <v>3871.7999999999997</v>
      </c>
      <c r="G629" s="45">
        <f>G630+G631</f>
        <v>3434.7</v>
      </c>
      <c r="H629" s="45">
        <f>H630+H631</f>
        <v>3434.7</v>
      </c>
    </row>
    <row r="630" spans="1:8" ht="31.5">
      <c r="A630" s="37" t="s">
        <v>229</v>
      </c>
      <c r="B630" s="43" t="s">
        <v>590</v>
      </c>
      <c r="C630" s="43" t="s">
        <v>51</v>
      </c>
      <c r="D630" s="43" t="s">
        <v>63</v>
      </c>
      <c r="E630" s="43" t="s">
        <v>230</v>
      </c>
      <c r="F630" s="94">
        <v>3473.7999999999997</v>
      </c>
      <c r="G630" s="94">
        <v>3191.7</v>
      </c>
      <c r="H630" s="94">
        <v>3191.7</v>
      </c>
    </row>
    <row r="631" spans="1:8" ht="47.25">
      <c r="A631" s="40" t="s">
        <v>20</v>
      </c>
      <c r="B631" s="43" t="s">
        <v>590</v>
      </c>
      <c r="C631" s="43" t="s">
        <v>51</v>
      </c>
      <c r="D631" s="43" t="s">
        <v>63</v>
      </c>
      <c r="E631" s="43" t="s">
        <v>100</v>
      </c>
      <c r="F631" s="94">
        <v>398</v>
      </c>
      <c r="G631" s="94">
        <v>243</v>
      </c>
      <c r="H631" s="94">
        <v>243</v>
      </c>
    </row>
    <row r="632" spans="1:8" ht="47.25">
      <c r="A632" s="40" t="s">
        <v>695</v>
      </c>
      <c r="B632" s="43" t="s">
        <v>605</v>
      </c>
      <c r="C632" s="43"/>
      <c r="D632" s="43"/>
      <c r="E632" s="43"/>
      <c r="F632" s="94">
        <f>F633</f>
        <v>2000.0000000000002</v>
      </c>
      <c r="G632" s="94">
        <f>G633</f>
        <v>2000</v>
      </c>
      <c r="H632" s="94">
        <f>H633</f>
        <v>1900</v>
      </c>
    </row>
    <row r="633" spans="1:8" ht="63">
      <c r="A633" s="40" t="s">
        <v>696</v>
      </c>
      <c r="B633" s="43" t="s">
        <v>606</v>
      </c>
      <c r="C633" s="43"/>
      <c r="D633" s="43"/>
      <c r="E633" s="43"/>
      <c r="F633" s="45">
        <f>F634+F639+F637</f>
        <v>2000.0000000000002</v>
      </c>
      <c r="G633" s="45">
        <f>G634+G639+G637</f>
        <v>2000</v>
      </c>
      <c r="H633" s="45">
        <f>H634+H639+H637</f>
        <v>1900</v>
      </c>
    </row>
    <row r="634" spans="1:8" ht="31.5">
      <c r="A634" s="40" t="s">
        <v>99</v>
      </c>
      <c r="B634" s="42" t="s">
        <v>607</v>
      </c>
      <c r="C634" s="43" t="s">
        <v>51</v>
      </c>
      <c r="D634" s="43" t="s">
        <v>58</v>
      </c>
      <c r="E634" s="43"/>
      <c r="F634" s="45">
        <f>F635+F636</f>
        <v>1700.7000000000003</v>
      </c>
      <c r="G634" s="45">
        <f>G635+G636</f>
        <v>1700.7</v>
      </c>
      <c r="H634" s="45">
        <f>H635+H636</f>
        <v>1600.7</v>
      </c>
    </row>
    <row r="635" spans="1:8" ht="31.5">
      <c r="A635" s="40" t="s">
        <v>96</v>
      </c>
      <c r="B635" s="42" t="s">
        <v>607</v>
      </c>
      <c r="C635" s="43" t="s">
        <v>51</v>
      </c>
      <c r="D635" s="43" t="s">
        <v>58</v>
      </c>
      <c r="E635" s="43" t="s">
        <v>97</v>
      </c>
      <c r="F635" s="45">
        <v>1524.6000000000001</v>
      </c>
      <c r="G635" s="45">
        <f>1782.7-289.3</f>
        <v>1493.4</v>
      </c>
      <c r="H635" s="45">
        <f>1782.7-289.3</f>
        <v>1493.4</v>
      </c>
    </row>
    <row r="636" spans="1:8" ht="47.25">
      <c r="A636" s="40" t="s">
        <v>20</v>
      </c>
      <c r="B636" s="42" t="s">
        <v>607</v>
      </c>
      <c r="C636" s="43" t="s">
        <v>51</v>
      </c>
      <c r="D636" s="43" t="s">
        <v>58</v>
      </c>
      <c r="E636" s="43" t="s">
        <v>100</v>
      </c>
      <c r="F636" s="45">
        <v>176.10000000000002</v>
      </c>
      <c r="G636" s="45">
        <v>207.3</v>
      </c>
      <c r="H636" s="45">
        <f>207.3-100</f>
        <v>107.30000000000001</v>
      </c>
    </row>
    <row r="637" spans="1:8" ht="31.5">
      <c r="A637" s="40" t="s">
        <v>99</v>
      </c>
      <c r="B637" s="42" t="s">
        <v>607</v>
      </c>
      <c r="C637" s="43" t="s">
        <v>59</v>
      </c>
      <c r="D637" s="43" t="s">
        <v>69</v>
      </c>
      <c r="E637" s="43"/>
      <c r="F637" s="94">
        <f>F638</f>
        <v>10</v>
      </c>
      <c r="G637" s="94">
        <f>G638</f>
        <v>10</v>
      </c>
      <c r="H637" s="94">
        <f>H638</f>
        <v>10</v>
      </c>
    </row>
    <row r="638" spans="1:8" ht="47.25">
      <c r="A638" s="174" t="s">
        <v>20</v>
      </c>
      <c r="B638" s="42" t="s">
        <v>607</v>
      </c>
      <c r="C638" s="43" t="s">
        <v>59</v>
      </c>
      <c r="D638" s="43" t="s">
        <v>69</v>
      </c>
      <c r="E638" s="155" t="s">
        <v>100</v>
      </c>
      <c r="F638" s="150">
        <v>10</v>
      </c>
      <c r="G638" s="150">
        <v>10</v>
      </c>
      <c r="H638" s="150">
        <v>10</v>
      </c>
    </row>
    <row r="639" spans="1:8" ht="47.25">
      <c r="A639" s="40" t="s">
        <v>462</v>
      </c>
      <c r="B639" s="43" t="s">
        <v>608</v>
      </c>
      <c r="C639" s="43" t="s">
        <v>51</v>
      </c>
      <c r="D639" s="43" t="s">
        <v>58</v>
      </c>
      <c r="E639" s="43"/>
      <c r="F639" s="94">
        <f>F640</f>
        <v>289.3</v>
      </c>
      <c r="G639" s="94">
        <f>G640</f>
        <v>289.3</v>
      </c>
      <c r="H639" s="94">
        <f>H640</f>
        <v>289.3</v>
      </c>
    </row>
    <row r="640" spans="1:8" ht="31.5">
      <c r="A640" s="37" t="s">
        <v>96</v>
      </c>
      <c r="B640" s="43" t="s">
        <v>608</v>
      </c>
      <c r="C640" s="43" t="s">
        <v>51</v>
      </c>
      <c r="D640" s="43" t="s">
        <v>58</v>
      </c>
      <c r="E640" s="43" t="s">
        <v>97</v>
      </c>
      <c r="F640" s="59">
        <v>289.3</v>
      </c>
      <c r="G640" s="59">
        <v>289.3</v>
      </c>
      <c r="H640" s="59">
        <v>289.3</v>
      </c>
    </row>
    <row r="641" spans="1:8" ht="63">
      <c r="A641" s="40" t="s">
        <v>697</v>
      </c>
      <c r="B641" s="43" t="s">
        <v>669</v>
      </c>
      <c r="C641" s="43"/>
      <c r="D641" s="43"/>
      <c r="E641" s="74"/>
      <c r="F641" s="94">
        <f>F642</f>
        <v>10600.7</v>
      </c>
      <c r="G641" s="94">
        <f>G642</f>
        <v>10600.7</v>
      </c>
      <c r="H641" s="94">
        <f>H642</f>
        <v>9500.7</v>
      </c>
    </row>
    <row r="642" spans="1:8" ht="63">
      <c r="A642" s="40" t="s">
        <v>670</v>
      </c>
      <c r="B642" s="43" t="s">
        <v>671</v>
      </c>
      <c r="C642" s="43"/>
      <c r="D642" s="43"/>
      <c r="E642" s="74"/>
      <c r="F642" s="94">
        <f>F643+F650+F646</f>
        <v>10600.7</v>
      </c>
      <c r="G642" s="94">
        <f>G643+G650</f>
        <v>10600.7</v>
      </c>
      <c r="H642" s="94">
        <f>H643+H650</f>
        <v>9500.7</v>
      </c>
    </row>
    <row r="643" spans="1:8" ht="31.5">
      <c r="A643" s="40" t="s">
        <v>95</v>
      </c>
      <c r="B643" s="43" t="s">
        <v>672</v>
      </c>
      <c r="C643" s="43" t="s">
        <v>51</v>
      </c>
      <c r="D643" s="43" t="s">
        <v>58</v>
      </c>
      <c r="E643" s="43"/>
      <c r="F643" s="94">
        <f>F644+F645</f>
        <v>8412.2</v>
      </c>
      <c r="G643" s="94">
        <f>G644+G645</f>
        <v>8424.300000000001</v>
      </c>
      <c r="H643" s="94">
        <f>H644+H645</f>
        <v>7316.1</v>
      </c>
    </row>
    <row r="644" spans="1:8" ht="31.5">
      <c r="A644" s="40" t="s">
        <v>96</v>
      </c>
      <c r="B644" s="43" t="s">
        <v>672</v>
      </c>
      <c r="C644" s="43" t="s">
        <v>51</v>
      </c>
      <c r="D644" s="43" t="s">
        <v>58</v>
      </c>
      <c r="E644" s="43" t="s">
        <v>97</v>
      </c>
      <c r="F644" s="94">
        <v>7281.200000000001</v>
      </c>
      <c r="G644" s="94">
        <f>9230.7-2176.4</f>
        <v>7054.300000000001</v>
      </c>
      <c r="H644" s="94">
        <f>9230.7-2184.6</f>
        <v>7046.1</v>
      </c>
    </row>
    <row r="645" spans="1:8" ht="47.25">
      <c r="A645" s="40" t="s">
        <v>20</v>
      </c>
      <c r="B645" s="43" t="s">
        <v>672</v>
      </c>
      <c r="C645" s="43" t="s">
        <v>51</v>
      </c>
      <c r="D645" s="43" t="s">
        <v>58</v>
      </c>
      <c r="E645" s="43" t="s">
        <v>100</v>
      </c>
      <c r="F645" s="94">
        <v>1131</v>
      </c>
      <c r="G645" s="94">
        <f>1370</f>
        <v>1370</v>
      </c>
      <c r="H645" s="94">
        <f>1370-1100</f>
        <v>270</v>
      </c>
    </row>
    <row r="646" spans="1:8" ht="31.5">
      <c r="A646" s="40" t="s">
        <v>95</v>
      </c>
      <c r="B646" s="43" t="s">
        <v>672</v>
      </c>
      <c r="C646" s="43" t="s">
        <v>59</v>
      </c>
      <c r="D646" s="43" t="s">
        <v>69</v>
      </c>
      <c r="E646" s="43"/>
      <c r="F646" s="94">
        <f>F647</f>
        <v>20</v>
      </c>
      <c r="G646" s="94"/>
      <c r="H646" s="94"/>
    </row>
    <row r="647" spans="1:8" ht="47.25">
      <c r="A647" s="40" t="s">
        <v>20</v>
      </c>
      <c r="B647" s="43" t="s">
        <v>672</v>
      </c>
      <c r="C647" s="43" t="s">
        <v>59</v>
      </c>
      <c r="D647" s="43" t="s">
        <v>69</v>
      </c>
      <c r="E647" s="43" t="s">
        <v>100</v>
      </c>
      <c r="F647" s="94">
        <v>20</v>
      </c>
      <c r="G647" s="94"/>
      <c r="H647" s="94"/>
    </row>
    <row r="648" spans="1:8" ht="220.5" hidden="1">
      <c r="A648" s="40" t="s">
        <v>550</v>
      </c>
      <c r="B648" s="43" t="s">
        <v>673</v>
      </c>
      <c r="C648" s="43" t="s">
        <v>51</v>
      </c>
      <c r="D648" s="43" t="s">
        <v>58</v>
      </c>
      <c r="E648" s="43"/>
      <c r="F648" s="94">
        <f>F649</f>
        <v>0</v>
      </c>
      <c r="G648" s="94"/>
      <c r="H648" s="94"/>
    </row>
    <row r="649" spans="1:8" ht="31.5" hidden="1">
      <c r="A649" s="40" t="s">
        <v>96</v>
      </c>
      <c r="B649" s="43" t="s">
        <v>673</v>
      </c>
      <c r="C649" s="43" t="s">
        <v>51</v>
      </c>
      <c r="D649" s="43" t="s">
        <v>58</v>
      </c>
      <c r="E649" s="43" t="s">
        <v>97</v>
      </c>
      <c r="F649" s="94">
        <v>0</v>
      </c>
      <c r="G649" s="94"/>
      <c r="H649" s="94"/>
    </row>
    <row r="650" spans="1:8" ht="47.25">
      <c r="A650" s="40" t="s">
        <v>462</v>
      </c>
      <c r="B650" s="43" t="s">
        <v>674</v>
      </c>
      <c r="C650" s="43" t="s">
        <v>51</v>
      </c>
      <c r="D650" s="43" t="s">
        <v>58</v>
      </c>
      <c r="E650" s="43"/>
      <c r="F650" s="94">
        <f>F651</f>
        <v>2168.5</v>
      </c>
      <c r="G650" s="94">
        <f>G651</f>
        <v>2176.4</v>
      </c>
      <c r="H650" s="94">
        <f>H651</f>
        <v>2184.6</v>
      </c>
    </row>
    <row r="651" spans="1:8" ht="31.5">
      <c r="A651" s="40" t="s">
        <v>96</v>
      </c>
      <c r="B651" s="43" t="s">
        <v>674</v>
      </c>
      <c r="C651" s="43" t="s">
        <v>51</v>
      </c>
      <c r="D651" s="43" t="s">
        <v>58</v>
      </c>
      <c r="E651" s="43" t="s">
        <v>97</v>
      </c>
      <c r="F651" s="94">
        <v>2168.5</v>
      </c>
      <c r="G651" s="94">
        <v>2176.4</v>
      </c>
      <c r="H651" s="94">
        <v>2184.6</v>
      </c>
    </row>
    <row r="652" spans="1:8" ht="94.5">
      <c r="A652" s="87" t="s">
        <v>698</v>
      </c>
      <c r="B652" s="43" t="s">
        <v>675</v>
      </c>
      <c r="C652" s="43"/>
      <c r="D652" s="43"/>
      <c r="E652" s="74"/>
      <c r="F652" s="94">
        <f>F653</f>
        <v>19495</v>
      </c>
      <c r="G652" s="94">
        <f>G653</f>
        <v>19500</v>
      </c>
      <c r="H652" s="94">
        <f>H653</f>
        <v>19500</v>
      </c>
    </row>
    <row r="653" spans="1:8" ht="94.5">
      <c r="A653" s="40" t="s">
        <v>699</v>
      </c>
      <c r="B653" s="43" t="s">
        <v>676</v>
      </c>
      <c r="C653" s="43"/>
      <c r="D653" s="43"/>
      <c r="E653" s="74"/>
      <c r="F653" s="94">
        <f>F654+F660+F658</f>
        <v>19495</v>
      </c>
      <c r="G653" s="94">
        <f>G654+G660+G658</f>
        <v>19500</v>
      </c>
      <c r="H653" s="94">
        <f>H654+H660+H658</f>
        <v>19500</v>
      </c>
    </row>
    <row r="654" spans="1:8" ht="47.25">
      <c r="A654" s="37" t="s">
        <v>984</v>
      </c>
      <c r="B654" s="43" t="s">
        <v>677</v>
      </c>
      <c r="C654" s="43" t="s">
        <v>51</v>
      </c>
      <c r="D654" s="43" t="s">
        <v>63</v>
      </c>
      <c r="E654" s="43"/>
      <c r="F654" s="94">
        <f>F655+F656+F657</f>
        <v>13767.2</v>
      </c>
      <c r="G654" s="94">
        <f>G655+G656+G657</f>
        <v>13772.2</v>
      </c>
      <c r="H654" s="94">
        <f>H655+H656+H657</f>
        <v>13772.2</v>
      </c>
    </row>
    <row r="655" spans="1:8" ht="31.5">
      <c r="A655" s="37" t="s">
        <v>229</v>
      </c>
      <c r="B655" s="43" t="s">
        <v>677</v>
      </c>
      <c r="C655" s="43" t="s">
        <v>51</v>
      </c>
      <c r="D655" s="43" t="s">
        <v>63</v>
      </c>
      <c r="E655" s="43" t="s">
        <v>230</v>
      </c>
      <c r="F655" s="94">
        <f>17950-5617.8</f>
        <v>12332.2</v>
      </c>
      <c r="G655" s="94">
        <f>17950-5617.8</f>
        <v>12332.2</v>
      </c>
      <c r="H655" s="94">
        <f>17950-5617.8</f>
        <v>12332.2</v>
      </c>
    </row>
    <row r="656" spans="1:8" ht="47.25">
      <c r="A656" s="40" t="s">
        <v>20</v>
      </c>
      <c r="B656" s="43" t="s">
        <v>677</v>
      </c>
      <c r="C656" s="43" t="s">
        <v>51</v>
      </c>
      <c r="D656" s="43" t="s">
        <v>63</v>
      </c>
      <c r="E656" s="43" t="s">
        <v>100</v>
      </c>
      <c r="F656" s="94">
        <v>1425</v>
      </c>
      <c r="G656" s="94">
        <v>1430</v>
      </c>
      <c r="H656" s="94">
        <v>1430</v>
      </c>
    </row>
    <row r="657" spans="1:8" ht="15.75">
      <c r="A657" s="40" t="s">
        <v>21</v>
      </c>
      <c r="B657" s="43" t="s">
        <v>677</v>
      </c>
      <c r="C657" s="43" t="s">
        <v>51</v>
      </c>
      <c r="D657" s="43" t="s">
        <v>63</v>
      </c>
      <c r="E657" s="43" t="s">
        <v>101</v>
      </c>
      <c r="F657" s="94">
        <v>10</v>
      </c>
      <c r="G657" s="94">
        <v>10</v>
      </c>
      <c r="H657" s="94">
        <v>10</v>
      </c>
    </row>
    <row r="658" spans="1:8" ht="31.5">
      <c r="A658" s="37" t="s">
        <v>229</v>
      </c>
      <c r="B658" s="43" t="s">
        <v>677</v>
      </c>
      <c r="C658" s="43" t="s">
        <v>59</v>
      </c>
      <c r="D658" s="43" t="s">
        <v>69</v>
      </c>
      <c r="E658" s="43"/>
      <c r="F658" s="94">
        <f>F659</f>
        <v>110</v>
      </c>
      <c r="G658" s="94">
        <f>G659</f>
        <v>110</v>
      </c>
      <c r="H658" s="94">
        <f>H659</f>
        <v>110</v>
      </c>
    </row>
    <row r="659" spans="1:8" ht="47.25">
      <c r="A659" s="40" t="s">
        <v>20</v>
      </c>
      <c r="B659" s="43" t="s">
        <v>677</v>
      </c>
      <c r="C659" s="43" t="s">
        <v>59</v>
      </c>
      <c r="D659" s="43" t="s">
        <v>69</v>
      </c>
      <c r="E659" s="43" t="s">
        <v>100</v>
      </c>
      <c r="F659" s="94">
        <v>110</v>
      </c>
      <c r="G659" s="94">
        <v>110</v>
      </c>
      <c r="H659" s="94">
        <v>110</v>
      </c>
    </row>
    <row r="660" spans="1:8" ht="47.25">
      <c r="A660" s="40" t="s">
        <v>462</v>
      </c>
      <c r="B660" s="43" t="s">
        <v>678</v>
      </c>
      <c r="C660" s="43" t="s">
        <v>51</v>
      </c>
      <c r="D660" s="43" t="s">
        <v>63</v>
      </c>
      <c r="E660" s="43"/>
      <c r="F660" s="94">
        <f>F661</f>
        <v>5617.8</v>
      </c>
      <c r="G660" s="94">
        <f>G661</f>
        <v>5617.8</v>
      </c>
      <c r="H660" s="94">
        <f>H661</f>
        <v>5617.8</v>
      </c>
    </row>
    <row r="661" spans="1:8" ht="31.5">
      <c r="A661" s="37" t="s">
        <v>229</v>
      </c>
      <c r="B661" s="43" t="s">
        <v>678</v>
      </c>
      <c r="C661" s="43" t="s">
        <v>51</v>
      </c>
      <c r="D661" s="43" t="s">
        <v>63</v>
      </c>
      <c r="E661" s="43" t="s">
        <v>230</v>
      </c>
      <c r="F661" s="94">
        <v>5617.8</v>
      </c>
      <c r="G661" s="94">
        <v>5617.8</v>
      </c>
      <c r="H661" s="94">
        <v>5617.8</v>
      </c>
    </row>
    <row r="662" spans="1:8" ht="63">
      <c r="A662" s="54" t="s">
        <v>942</v>
      </c>
      <c r="B662" s="43" t="s">
        <v>680</v>
      </c>
      <c r="C662" s="43"/>
      <c r="D662" s="43"/>
      <c r="E662" s="43"/>
      <c r="F662" s="94">
        <f>F663</f>
        <v>6636.1</v>
      </c>
      <c r="G662" s="94">
        <f>G663</f>
        <v>7126.7</v>
      </c>
      <c r="H662" s="94">
        <f>H663</f>
        <v>6128.900000000001</v>
      </c>
    </row>
    <row r="663" spans="1:8" ht="63">
      <c r="A663" s="40" t="s">
        <v>941</v>
      </c>
      <c r="B663" s="43" t="s">
        <v>682</v>
      </c>
      <c r="C663" s="43"/>
      <c r="D663" s="43"/>
      <c r="E663" s="43"/>
      <c r="F663" s="94">
        <f>F664+F672+F670+F668</f>
        <v>6636.1</v>
      </c>
      <c r="G663" s="94">
        <f>G664+G672+G670</f>
        <v>7126.7</v>
      </c>
      <c r="H663" s="94">
        <f>H664+H672+H670</f>
        <v>6128.900000000001</v>
      </c>
    </row>
    <row r="664" spans="1:8" ht="31.5">
      <c r="A664" s="40" t="s">
        <v>95</v>
      </c>
      <c r="B664" s="43" t="s">
        <v>683</v>
      </c>
      <c r="C664" s="43" t="s">
        <v>51</v>
      </c>
      <c r="D664" s="43" t="s">
        <v>56</v>
      </c>
      <c r="E664" s="43"/>
      <c r="F664" s="94">
        <f>F665+F666+F667</f>
        <v>4815.400000000001</v>
      </c>
      <c r="G664" s="94">
        <f>G665+G666+G667</f>
        <v>5306.3</v>
      </c>
      <c r="H664" s="94">
        <f>H665+H666+H667</f>
        <v>4296.3</v>
      </c>
    </row>
    <row r="665" spans="1:8" ht="31.5">
      <c r="A665" s="40" t="s">
        <v>96</v>
      </c>
      <c r="B665" s="43" t="s">
        <v>683</v>
      </c>
      <c r="C665" s="43" t="s">
        <v>51</v>
      </c>
      <c r="D665" s="43" t="s">
        <v>56</v>
      </c>
      <c r="E665" s="43" t="s">
        <v>97</v>
      </c>
      <c r="F665" s="94">
        <f>5518.8-1500</f>
        <v>4018.8</v>
      </c>
      <c r="G665" s="94">
        <f>5518.8-1500</f>
        <v>4018.8</v>
      </c>
      <c r="H665" s="94">
        <f>5518.8-1500</f>
        <v>4018.8</v>
      </c>
    </row>
    <row r="666" spans="1:8" ht="47.25">
      <c r="A666" s="40" t="s">
        <v>20</v>
      </c>
      <c r="B666" s="43" t="s">
        <v>683</v>
      </c>
      <c r="C666" s="43" t="s">
        <v>51</v>
      </c>
      <c r="D666" s="43" t="s">
        <v>56</v>
      </c>
      <c r="E666" s="43" t="s">
        <v>100</v>
      </c>
      <c r="F666" s="94">
        <v>765.8000000000001</v>
      </c>
      <c r="G666" s="94">
        <f>782.5+500</f>
        <v>1282.5</v>
      </c>
      <c r="H666" s="94">
        <f>782.5-510</f>
        <v>272.5</v>
      </c>
    </row>
    <row r="667" spans="1:8" ht="15.75">
      <c r="A667" s="40" t="s">
        <v>21</v>
      </c>
      <c r="B667" s="43" t="s">
        <v>683</v>
      </c>
      <c r="C667" s="43" t="s">
        <v>51</v>
      </c>
      <c r="D667" s="43" t="s">
        <v>56</v>
      </c>
      <c r="E667" s="43" t="s">
        <v>101</v>
      </c>
      <c r="F667" s="94">
        <v>30.8</v>
      </c>
      <c r="G667" s="94">
        <v>5</v>
      </c>
      <c r="H667" s="94">
        <v>5</v>
      </c>
    </row>
    <row r="668" spans="1:8" ht="39.75" customHeight="1">
      <c r="A668" s="40" t="s">
        <v>96</v>
      </c>
      <c r="B668" s="43" t="s">
        <v>683</v>
      </c>
      <c r="C668" s="43" t="s">
        <v>59</v>
      </c>
      <c r="D668" s="43" t="s">
        <v>69</v>
      </c>
      <c r="E668" s="43"/>
      <c r="F668" s="94">
        <f>F669</f>
        <v>5</v>
      </c>
      <c r="G668" s="94"/>
      <c r="H668" s="94"/>
    </row>
    <row r="669" spans="1:8" ht="53.25" customHeight="1">
      <c r="A669" s="40" t="s">
        <v>20</v>
      </c>
      <c r="B669" s="43" t="s">
        <v>683</v>
      </c>
      <c r="C669" s="43" t="s">
        <v>59</v>
      </c>
      <c r="D669" s="43" t="s">
        <v>69</v>
      </c>
      <c r="E669" s="43" t="s">
        <v>100</v>
      </c>
      <c r="F669" s="94">
        <v>5</v>
      </c>
      <c r="G669" s="94"/>
      <c r="H669" s="94"/>
    </row>
    <row r="670" spans="1:8" ht="66.75" customHeight="1">
      <c r="A670" s="40" t="s">
        <v>960</v>
      </c>
      <c r="B670" s="43" t="s">
        <v>685</v>
      </c>
      <c r="C670" s="43" t="s">
        <v>52</v>
      </c>
      <c r="D670" s="43" t="s">
        <v>54</v>
      </c>
      <c r="E670" s="43"/>
      <c r="F670" s="94">
        <f>F671</f>
        <v>315.70000000000005</v>
      </c>
      <c r="G670" s="94">
        <f>G671</f>
        <v>320.40000000000003</v>
      </c>
      <c r="H670" s="94">
        <f>H671</f>
        <v>332.6</v>
      </c>
    </row>
    <row r="671" spans="1:8" ht="31.5">
      <c r="A671" s="40" t="s">
        <v>96</v>
      </c>
      <c r="B671" s="43" t="s">
        <v>685</v>
      </c>
      <c r="C671" s="43" t="s">
        <v>52</v>
      </c>
      <c r="D671" s="43" t="s">
        <v>54</v>
      </c>
      <c r="E671" s="43" t="s">
        <v>97</v>
      </c>
      <c r="F671" s="45">
        <v>315.70000000000005</v>
      </c>
      <c r="G671" s="45">
        <f>305.6+14.8</f>
        <v>320.40000000000003</v>
      </c>
      <c r="H671" s="45">
        <f>305.6+27</f>
        <v>332.6</v>
      </c>
    </row>
    <row r="672" spans="1:8" ht="47.25">
      <c r="A672" s="40" t="s">
        <v>462</v>
      </c>
      <c r="B672" s="43" t="s">
        <v>686</v>
      </c>
      <c r="C672" s="43" t="s">
        <v>51</v>
      </c>
      <c r="D672" s="43" t="s">
        <v>56</v>
      </c>
      <c r="E672" s="43"/>
      <c r="F672" s="94">
        <f>F673</f>
        <v>1500</v>
      </c>
      <c r="G672" s="94">
        <f>G673</f>
        <v>1500</v>
      </c>
      <c r="H672" s="94">
        <f>H673</f>
        <v>1500</v>
      </c>
    </row>
    <row r="673" spans="1:8" ht="31.5">
      <c r="A673" s="37" t="s">
        <v>229</v>
      </c>
      <c r="B673" s="43" t="s">
        <v>686</v>
      </c>
      <c r="C673" s="43" t="s">
        <v>51</v>
      </c>
      <c r="D673" s="43" t="s">
        <v>56</v>
      </c>
      <c r="E673" s="43" t="s">
        <v>230</v>
      </c>
      <c r="F673" s="94">
        <v>1500</v>
      </c>
      <c r="G673" s="94">
        <v>1500</v>
      </c>
      <c r="H673" s="94">
        <v>1500</v>
      </c>
    </row>
    <row r="674" spans="1:8" ht="15.75">
      <c r="A674" s="97" t="s">
        <v>124</v>
      </c>
      <c r="B674" s="48"/>
      <c r="C674" s="48"/>
      <c r="D674" s="48"/>
      <c r="E674" s="96"/>
      <c r="F674" s="61">
        <f>F17+F134+F222+F258+F282+F311+F340+F357+F364+F440+F447+F475+F482+F389+F419+F514+F529+F537+F545+F552+F556+F586+F560</f>
        <v>992314.6</v>
      </c>
      <c r="G674" s="61">
        <f>G17+G134+G222+G258+G282+G311+G340+G357+G364+G440+G447+G475+G482+G389+G419+G514+G529+G537+G545+G552+G556+G586+G560</f>
        <v>743254.4999999999</v>
      </c>
      <c r="H674" s="61">
        <f>H17+H134+H222+H258+H282+H311+H340+H357+H364+H440+H447+H475+H482+H389+H419+H514+H529+H537+H545+H552+H556+H586+H560</f>
        <v>508781.49999999994</v>
      </c>
    </row>
    <row r="675" ht="15.75">
      <c r="H675" s="16" t="s">
        <v>601</v>
      </c>
    </row>
    <row r="676" ht="15.75">
      <c r="H676" s="3"/>
    </row>
    <row r="677" spans="1:8" ht="15.75">
      <c r="A677" s="51"/>
      <c r="B677" s="132"/>
      <c r="C677" s="132"/>
      <c r="D677" s="132"/>
      <c r="E677" s="132"/>
      <c r="F677" s="132"/>
      <c r="G677" s="132"/>
      <c r="H677" s="132"/>
    </row>
    <row r="678" spans="6:8" ht="15">
      <c r="F678" s="133"/>
      <c r="G678" s="133"/>
      <c r="H678" s="133"/>
    </row>
    <row r="679" spans="6:8" ht="12.75">
      <c r="F679" s="143"/>
      <c r="G679" s="143"/>
      <c r="H679" s="143"/>
    </row>
    <row r="682" spans="6:8" ht="12.75">
      <c r="F682" s="143"/>
      <c r="G682" s="143"/>
      <c r="H682" s="143"/>
    </row>
  </sheetData>
  <sheetProtection formatCells="0" formatColumns="0" formatRows="0" insertColumns="0" insertRows="0" insertHyperlinks="0" deleteColumns="0" deleteRows="0" sort="0" autoFilter="0" pivotTables="0"/>
  <mergeCells count="16">
    <mergeCell ref="A7:H7"/>
    <mergeCell ref="A8:H8"/>
    <mergeCell ref="A10:H11"/>
    <mergeCell ref="E13:H13"/>
    <mergeCell ref="A14:A15"/>
    <mergeCell ref="B14:B15"/>
    <mergeCell ref="C14:C15"/>
    <mergeCell ref="D14:D15"/>
    <mergeCell ref="E14:E15"/>
    <mergeCell ref="F14:H14"/>
    <mergeCell ref="A1:H1"/>
    <mergeCell ref="A2:H2"/>
    <mergeCell ref="A3:H3"/>
    <mergeCell ref="A4:H4"/>
    <mergeCell ref="A5:H5"/>
    <mergeCell ref="A6:H6"/>
  </mergeCells>
  <conditionalFormatting sqref="A503:A505">
    <cfRule type="duplicateValues" priority="3" dxfId="12" stopIfTrue="1">
      <formula>AND(COUNTIF($A$503:$A$505,A503)&gt;1,NOT(ISBLANK(A503)))</formula>
    </cfRule>
  </conditionalFormatting>
  <conditionalFormatting sqref="A506:A508">
    <cfRule type="duplicateValues" priority="2" dxfId="12" stopIfTrue="1">
      <formula>AND(COUNTIF($A$506:$A$508,A506)&gt;1,NOT(ISBLANK(A506)))</formula>
    </cfRule>
  </conditionalFormatting>
  <conditionalFormatting sqref="A509:A511">
    <cfRule type="duplicateValues" priority="1" dxfId="12" stopIfTrue="1">
      <formula>AND(COUNTIF($A$509:$A$511,A509)&gt;1,NOT(ISBLANK(A509)))</formula>
    </cfRule>
  </conditionalFormatting>
  <printOptions horizontalCentered="1"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Ю.В.</dc:creator>
  <cp:keywords/>
  <dc:description/>
  <cp:lastModifiedBy>User1</cp:lastModifiedBy>
  <cp:lastPrinted>2023-09-01T07:22:13Z</cp:lastPrinted>
  <dcterms:created xsi:type="dcterms:W3CDTF">2009-07-07T10:35:31Z</dcterms:created>
  <dcterms:modified xsi:type="dcterms:W3CDTF">2023-09-01T07:22:18Z</dcterms:modified>
  <cp:category/>
  <cp:version/>
  <cp:contentType/>
  <cp:contentStatus/>
  <cp:revision>141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